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20" windowWidth="15480" windowHeight="11640" tabRatio="619" activeTab="2"/>
  </bookViews>
  <sheets>
    <sheet name="Utilisation tableur" sheetId="1" r:id="rId1"/>
    <sheet name="Statistiques" sheetId="2" r:id="rId2"/>
    <sheet name="Budget mensuel" sheetId="3" r:id="rId3"/>
    <sheet name="Ratio conso énergie" sheetId="4" r:id="rId4"/>
    <sheet name="Coût énergies" sheetId="5" r:id="rId5"/>
    <sheet name="Facture énergie" sheetId="6" r:id="rId6"/>
    <sheet name="Calculs charges" sheetId="7" r:id="rId7"/>
  </sheets>
  <definedNames>
    <definedName name="_Lgt1">'Statistiques'!$E$88:$E$90</definedName>
    <definedName name="_Lgt2">'Statistiques'!$A$93:$A$95</definedName>
    <definedName name="_Lgt3">'Statistiques'!$C$93:$C$95</definedName>
    <definedName name="Commune">'Statistiques'!$C$88:$C$90</definedName>
    <definedName name="Cuisson">'Facture énergie'!$K$26:$K$28</definedName>
    <definedName name="ECS_dans_dépenses">'Facture énergie'!$K$40:$K$42</definedName>
    <definedName name="ECScollective">'Facture énergie'!$M$7:$M$8</definedName>
    <definedName name="Equipement_élec">'Facture énergie'!$K$31:$K$33</definedName>
    <definedName name="Logement4">'Statistiques'!$D$28</definedName>
    <definedName name="Logement5">'Statistiques'!$D$28</definedName>
    <definedName name="Logement6">'Statistiques'!$D$28</definedName>
    <definedName name="Logement7">'Statistiques'!$D$28</definedName>
    <definedName name="mode_déplacement" localSheetId="2">'Facture énergie'!$H$54:$H$59</definedName>
    <definedName name="mode_déplacement" localSheetId="5">'Facture énergie'!$H$54:$H$59</definedName>
    <definedName name="Oui_Non">'Facture énergie'!$K$36:$K$37</definedName>
    <definedName name="Statut_solcial">'Statistiques'!$C$78:$C$81</definedName>
    <definedName name="_xlnm.Print_Area" localSheetId="2">'Budget mensuel'!$A$1:$F$229</definedName>
    <definedName name="_xlnm.Print_Area" localSheetId="4">'Coût énergies'!$A$1:$G$50</definedName>
    <definedName name="_xlnm.Print_Area" localSheetId="5">'Facture énergie'!$A$1:$F$82</definedName>
    <definedName name="_xlnm.Print_Area" localSheetId="3">'Ratio conso énergie'!$A$1:$G$84</definedName>
    <definedName name="_xlnm.Print_Area" localSheetId="1">'Statistiques'!$A$1:$F$104</definedName>
    <definedName name="_xlnm.Print_Area" localSheetId="0">'Utilisation tableur'!$A$1:$F$99</definedName>
  </definedNames>
  <calcPr fullCalcOnLoad="1"/>
</workbook>
</file>

<file path=xl/comments3.xml><?xml version="1.0" encoding="utf-8"?>
<comments xmlns="http://schemas.openxmlformats.org/spreadsheetml/2006/main">
  <authors>
    <author>Emmanuel Delpont</author>
  </authors>
  <commentList>
    <comment ref="D91" authorId="0">
      <text>
        <r>
          <rPr>
            <b/>
            <sz val="8"/>
            <rFont val="Tahoma"/>
            <family val="2"/>
          </rPr>
          <t>cellule à renseigner
adulte 2</t>
        </r>
      </text>
    </comment>
    <comment ref="C90" authorId="0">
      <text>
        <r>
          <rPr>
            <b/>
            <sz val="8"/>
            <rFont val="Tahoma"/>
            <family val="2"/>
          </rPr>
          <t>cellule à renseigner
adulte 1</t>
        </r>
      </text>
    </comment>
  </commentList>
</comments>
</file>

<file path=xl/comments7.xml><?xml version="1.0" encoding="utf-8"?>
<comments xmlns="http://schemas.openxmlformats.org/spreadsheetml/2006/main">
  <authors>
    <author>ed</author>
  </authors>
  <commentList>
    <comment ref="I75" authorId="0">
      <text>
        <r>
          <rPr>
            <b/>
            <sz val="8"/>
            <rFont val="Tahoma"/>
            <family val="2"/>
          </rPr>
          <t>20€ fixe + 25€/portable</t>
        </r>
      </text>
    </comment>
    <comment ref="J75" authorId="0">
      <text>
        <r>
          <rPr>
            <b/>
            <sz val="8"/>
            <rFont val="Tahoma"/>
            <family val="2"/>
          </rPr>
          <t>6€/paquet</t>
        </r>
      </text>
    </comment>
    <comment ref="G76" authorId="0">
      <text>
        <r>
          <rPr>
            <b/>
            <sz val="8"/>
            <rFont val="Tahoma"/>
            <family val="2"/>
          </rPr>
          <t>coefficient renforcé</t>
        </r>
      </text>
    </comment>
  </commentList>
</comments>
</file>

<file path=xl/sharedStrings.xml><?xml version="1.0" encoding="utf-8"?>
<sst xmlns="http://schemas.openxmlformats.org/spreadsheetml/2006/main" count="688" uniqueCount="404">
  <si>
    <t>cellules à renseigner</t>
  </si>
  <si>
    <t>cellules résultats</t>
  </si>
  <si>
    <t xml:space="preserve">Cases sur fond mauve : </t>
  </si>
  <si>
    <t>RATIO DE CONSOMMATIONS DE CHAUFFAGE</t>
  </si>
  <si>
    <t>SOLEIL</t>
  </si>
  <si>
    <t>BOIS DECHIQUETE</t>
  </si>
  <si>
    <t>PAC GEOTHERMIE</t>
  </si>
  <si>
    <t>BOIS GRANULE VRAC</t>
  </si>
  <si>
    <t>BOIS GRANULE SAC</t>
  </si>
  <si>
    <t>GAZ DE RESEAU</t>
  </si>
  <si>
    <t>FIOUL DOMESTIQUE</t>
  </si>
  <si>
    <t>GAZ PROPANE</t>
  </si>
  <si>
    <t>PETROLE POUR POÊLE</t>
  </si>
  <si>
    <t>c€ TTC / kWh</t>
  </si>
  <si>
    <t>ELECTRICITE</t>
  </si>
  <si>
    <t>Type de logement</t>
  </si>
  <si>
    <t>Surface chauffée du logement</t>
  </si>
  <si>
    <t>Nombre d'occupants du logement</t>
  </si>
  <si>
    <t xml:space="preserve">Prix en énergie finale </t>
  </si>
  <si>
    <t>Energies utilisées :</t>
  </si>
  <si>
    <t>Chauffage</t>
  </si>
  <si>
    <t>Eau Chaude</t>
  </si>
  <si>
    <t>Cuisson</t>
  </si>
  <si>
    <t>Logements individuels</t>
  </si>
  <si>
    <t>Logements collectifs</t>
  </si>
  <si>
    <t>m²</t>
  </si>
  <si>
    <t>kWh/m²/an</t>
  </si>
  <si>
    <t>personnes</t>
  </si>
  <si>
    <t>Soleil</t>
  </si>
  <si>
    <t>Bois déchiqueté</t>
  </si>
  <si>
    <t>Bois bûche</t>
  </si>
  <si>
    <t>PAC géothermique</t>
  </si>
  <si>
    <t>Bois granulé VRAC</t>
  </si>
  <si>
    <t>Bois granulé SAC</t>
  </si>
  <si>
    <t>Gaz de Réseau</t>
  </si>
  <si>
    <t>Electricité</t>
  </si>
  <si>
    <t>Gaz propane</t>
  </si>
  <si>
    <t>Pétrole pour poêle</t>
  </si>
  <si>
    <t>Energies possibles</t>
  </si>
  <si>
    <t>Coût énergie</t>
  </si>
  <si>
    <t>Electricité spécifique</t>
  </si>
  <si>
    <t>(c€/kWh)</t>
  </si>
  <si>
    <t>Eau chaude</t>
  </si>
  <si>
    <t>Coût Total de l'énergie :</t>
  </si>
  <si>
    <t xml:space="preserve">Cases sur fond vert : </t>
  </si>
  <si>
    <t>RENSEIGNEMENTS / FACTURE D'ENERGIE</t>
  </si>
  <si>
    <t>PRIS  MOYENS  DES  ENERGIES</t>
  </si>
  <si>
    <t>Consommations annuelles par m² ; valeurs théoriques</t>
  </si>
  <si>
    <t>(*voir feuille "ratio conso")</t>
  </si>
  <si>
    <t>Conso chauffage supposée*</t>
  </si>
  <si>
    <t>Tableau donné à titre indicatif, non indispensable pour le calcul de factures</t>
  </si>
  <si>
    <t>Cuisson :</t>
  </si>
  <si>
    <t>Facture d'énergies</t>
  </si>
  <si>
    <t>Tableaux récapitulatif des différentes charges des budgets des ménages</t>
  </si>
  <si>
    <t xml:space="preserve">A </t>
  </si>
  <si>
    <t>Composition de la famille</t>
  </si>
  <si>
    <t>Adultes</t>
  </si>
  <si>
    <t>Enfant</t>
  </si>
  <si>
    <t>Energie</t>
  </si>
  <si>
    <t>Assurance habitation</t>
  </si>
  <si>
    <t>Eau</t>
  </si>
  <si>
    <t>Charges fixes</t>
  </si>
  <si>
    <t>Dépenses courantes</t>
  </si>
  <si>
    <t>Alimentation</t>
  </si>
  <si>
    <t>Hygiène Entretien</t>
  </si>
  <si>
    <t>Vêtements</t>
  </si>
  <si>
    <t>Ado.</t>
  </si>
  <si>
    <t>adulte (s)</t>
  </si>
  <si>
    <t>enfant (s)</t>
  </si>
  <si>
    <t>adolescent (s)</t>
  </si>
  <si>
    <t>B</t>
  </si>
  <si>
    <t>Dépenses mensuelles pour familles monoparentales</t>
  </si>
  <si>
    <t>Dépenses mensuelles pour familles biparentales</t>
  </si>
  <si>
    <t>à partir du DPE</t>
  </si>
  <si>
    <t>Code famille</t>
  </si>
  <si>
    <t>Composition du foyer</t>
  </si>
  <si>
    <t>à partir des ratios*</t>
  </si>
  <si>
    <t xml:space="preserve">remplir l'une des 2 cellules  </t>
  </si>
  <si>
    <t>€ / an</t>
  </si>
  <si>
    <t>€ TTC / an</t>
  </si>
  <si>
    <t>€ / mois</t>
  </si>
  <si>
    <t>€ TTC / mois</t>
  </si>
  <si>
    <t>Total des dépenses mensuelles</t>
  </si>
  <si>
    <t xml:space="preserve">soit </t>
  </si>
  <si>
    <t>Année en cours</t>
  </si>
  <si>
    <t>Valeurs retenues pour le foyer (avec inflation)</t>
  </si>
  <si>
    <t>Valeurs indiquées</t>
  </si>
  <si>
    <t>Quelles sont les renseignements à apporter ?</t>
  </si>
  <si>
    <t>A quoi servent les différents feuillets ?</t>
  </si>
  <si>
    <t>Charges globales</t>
  </si>
  <si>
    <t>Ratio conso énergie</t>
  </si>
  <si>
    <t>Coût kWh énergie</t>
  </si>
  <si>
    <t>Facture énergie</t>
  </si>
  <si>
    <t>Calcul des charges</t>
  </si>
  <si>
    <t>A quoi correspondent les dépenses courantes ?</t>
  </si>
  <si>
    <t>Alimentation :</t>
  </si>
  <si>
    <t>Hygiène</t>
  </si>
  <si>
    <t>Entretien</t>
  </si>
  <si>
    <t>Assurance Habitation</t>
  </si>
  <si>
    <t xml:space="preserve">Les valeurs indiquées correspondent à des moyennes de consommations. </t>
  </si>
  <si>
    <t>Réalisation de ce tableur ?</t>
  </si>
  <si>
    <t>dans le cadre de son action sur la Précarité Energétique.</t>
  </si>
  <si>
    <t xml:space="preserve">Elles sont très fortement impactées par les habitudes des personnes du foyer </t>
  </si>
  <si>
    <t>(température du chauffage, durée des douches, lampes basses consommations, …).</t>
  </si>
  <si>
    <t>COMMENT  UTILISER  CE  TABLEUR ?</t>
  </si>
  <si>
    <t>C'est le feuillet où on rentre les valeurs et où on trouve les simulations de charges.</t>
  </si>
  <si>
    <t>Il permet d'évaluer les consommations de chauffage / m² en fonction du logement.</t>
  </si>
  <si>
    <t>Si on connait l'étiquette DPE, il n'est pas utile d'utiliser cet onglet.</t>
  </si>
  <si>
    <t>On y trouve le coût moyen du kWh pour chacune des énergies possible.</t>
  </si>
  <si>
    <t>Ce coût moyen peut être réactualisé sur le site indiqué tous les trimestres.</t>
  </si>
  <si>
    <t>Ces valeurs sont présentées dans les charges globales.</t>
  </si>
  <si>
    <t>On y retrouve les valeurs de références sur la consommation des ménages.</t>
  </si>
  <si>
    <t>pharmacie (aspirine, pansements, …) ainsi qu'une coupe de cheveux trimestrielle.</t>
  </si>
  <si>
    <t xml:space="preserve">Ce poste comprend l'achat de dentifrice, shampoing, savon, brosse à dents, petite </t>
  </si>
  <si>
    <t>nettoyage.</t>
  </si>
  <si>
    <t>Le calcul de ce poste comprend le coût des chaussures, sous-vêtements et autres,</t>
  </si>
  <si>
    <t>achetés dans des magasins à bas prix.</t>
  </si>
  <si>
    <t>à partir d'un échantillonnage de diverses compagnies d'assurances.</t>
  </si>
  <si>
    <t xml:space="preserve">Poste calculé à partir d'une moyenne de cotisation, pour une assurance multirisques, </t>
  </si>
  <si>
    <t>Date du jour</t>
  </si>
  <si>
    <t>Téléphonie</t>
  </si>
  <si>
    <t>Cigarettes</t>
  </si>
  <si>
    <t>Paquets de cigarettes par semaine</t>
  </si>
  <si>
    <t>par foyer</t>
  </si>
  <si>
    <t>C</t>
  </si>
  <si>
    <t>Valeurs mensuelles retenues pour le foyer (avec inflation)</t>
  </si>
  <si>
    <t>Avec coefficient lié au revenu :</t>
  </si>
  <si>
    <t>Dépenses mensuelles retenues</t>
  </si>
  <si>
    <t>Les chiffres utilisés dans les bases de calculs s'appuient sur les ratios de consommation</t>
  </si>
  <si>
    <r>
      <t>des bâtiments de l'</t>
    </r>
    <r>
      <rPr>
        <b/>
        <sz val="10"/>
        <rFont val="Verdana"/>
        <family val="0"/>
      </rPr>
      <t>INSEE</t>
    </r>
    <r>
      <rPr>
        <sz val="10"/>
        <rFont val="Verdana"/>
        <family val="0"/>
      </rPr>
      <t>, et sur le document "</t>
    </r>
    <r>
      <rPr>
        <b/>
        <sz val="10"/>
        <rFont val="Verdana"/>
        <family val="0"/>
      </rPr>
      <t xml:space="preserve">Dépenses mensuelles minimum de </t>
    </r>
  </si>
  <si>
    <r>
      <t>référence</t>
    </r>
    <r>
      <rPr>
        <sz val="10"/>
        <rFont val="Verdana"/>
        <family val="0"/>
      </rPr>
      <t xml:space="preserve">", conçu dans le cadre du plan Pauvreté-Précarité et actualisé par les </t>
    </r>
  </si>
  <si>
    <t>Les coûts des kWh des différentes énergies sont issues de l'Espace Information Energie</t>
  </si>
  <si>
    <t>chauffage.</t>
  </si>
  <si>
    <r>
      <t>de Franche Comté, l'</t>
    </r>
    <r>
      <rPr>
        <b/>
        <sz val="10"/>
        <rFont val="Verdana"/>
        <family val="0"/>
      </rPr>
      <t>AJENA</t>
    </r>
    <r>
      <rPr>
        <sz val="10"/>
        <rFont val="Verdana"/>
        <family val="0"/>
      </rPr>
      <t xml:space="preserve">. Il prend en compte le rendement des différents systèmes de </t>
    </r>
  </si>
  <si>
    <t>Ratios indiqués en énergie finale (consommations correspondant à celles sur les factures).</t>
  </si>
  <si>
    <t>Code foyer</t>
  </si>
  <si>
    <t>(30% fixe, 70% lié à l'écart des revenus / 2500€ si couple, ou / 1500€ si monoparental)</t>
  </si>
  <si>
    <t>Nb adulte dans foyer :</t>
  </si>
  <si>
    <t>aller - retour / semaine</t>
  </si>
  <si>
    <t>€ / km</t>
  </si>
  <si>
    <t>€ / km / mois</t>
  </si>
  <si>
    <t>€ / L</t>
  </si>
  <si>
    <t>Diesel</t>
  </si>
  <si>
    <t>GPL</t>
  </si>
  <si>
    <t>(prix carburant : voir feuillet "Coût énergie")</t>
  </si>
  <si>
    <t>Prix des carburants pour véhicules</t>
  </si>
  <si>
    <t>(aller simple)</t>
  </si>
  <si>
    <t>Coût retenu</t>
  </si>
  <si>
    <t>coût / km retenu :</t>
  </si>
  <si>
    <t>(indifférent si abonnement train / bus)</t>
  </si>
  <si>
    <t>Voiture diesel 6L/100km</t>
  </si>
  <si>
    <t>Voiture essence 7L/100km</t>
  </si>
  <si>
    <t>Voiture GPL 8,4L/100km</t>
  </si>
  <si>
    <t>Voiture électrique</t>
  </si>
  <si>
    <t>Abonnement train / bus</t>
  </si>
  <si>
    <t>Pied ou vélo</t>
  </si>
  <si>
    <t>Déplacements loisirs</t>
  </si>
  <si>
    <t>Déplacements domicile-travail</t>
  </si>
  <si>
    <t>km / an (hors travail)</t>
  </si>
  <si>
    <t>km / an (hors domicile-travail)</t>
  </si>
  <si>
    <t>Mode de transport loisirs</t>
  </si>
  <si>
    <t>Coût déplacements loisirs :</t>
  </si>
  <si>
    <t>Loisirs</t>
  </si>
  <si>
    <t>Prix des énergies pour la maison</t>
  </si>
  <si>
    <t>BOIS BÛCHES *</t>
  </si>
  <si>
    <t>*1,5 fois plus cher en Drôme</t>
  </si>
  <si>
    <t>Charges de déplacements</t>
  </si>
  <si>
    <t>Déplacements</t>
  </si>
  <si>
    <t xml:space="preserve">Coût carburant </t>
  </si>
  <si>
    <t xml:space="preserve">Sont pris en compte la consommation de carburant, et un forfait de 3 c€ / km pour la </t>
  </si>
  <si>
    <t xml:space="preserve">Chauffage </t>
  </si>
  <si>
    <t>(combustible + entretien annuel)</t>
  </si>
  <si>
    <t>(conso + abonnement annuel)</t>
  </si>
  <si>
    <t>Ne sont pas pris en compte : l'assurance, l'amortissement et les réparations du véhicule.</t>
  </si>
  <si>
    <t>Taxes foncière et d'habitation</t>
  </si>
  <si>
    <t>Impôts</t>
  </si>
  <si>
    <t>Impôts sur le revenu</t>
  </si>
  <si>
    <t>Assurance voiture(s)</t>
  </si>
  <si>
    <t>(environ 40€/mois/voiture)</t>
  </si>
  <si>
    <t>Distance domicile / travail 1</t>
  </si>
  <si>
    <t>Distance domicile / travail 2</t>
  </si>
  <si>
    <t>Coût déplacements domicile - travail 1:</t>
  </si>
  <si>
    <t>Nombre de trajets /semaine 1</t>
  </si>
  <si>
    <t>Nombre de trajets /semaine 2</t>
  </si>
  <si>
    <t>Coût déplacements domicile - travail 2:</t>
  </si>
  <si>
    <t>Domicile-travail 1</t>
  </si>
  <si>
    <t>Mode de déplacement 1</t>
  </si>
  <si>
    <t>Domicile-travail 2</t>
  </si>
  <si>
    <t>Mode de déplacement 2</t>
  </si>
  <si>
    <r>
      <t>Ce tableur de calcul des charges a été réalisé par l'</t>
    </r>
    <r>
      <rPr>
        <b/>
        <sz val="10"/>
        <rFont val="Verdana"/>
        <family val="0"/>
      </rPr>
      <t>ADIL Information Energie</t>
    </r>
    <r>
      <rPr>
        <sz val="10"/>
        <rFont val="Verdana"/>
        <family val="0"/>
      </rPr>
      <t xml:space="preserve">, </t>
    </r>
  </si>
  <si>
    <t>Crédits à la consommation</t>
  </si>
  <si>
    <t>Attention, tous les résultats sont issues de valeurs moyennes, ils peuvent donc</t>
  </si>
  <si>
    <t>être très différents suivants les habitudes de consommations des personnes !</t>
  </si>
  <si>
    <t>Adulte 1</t>
  </si>
  <si>
    <t>Adulte 2</t>
  </si>
  <si>
    <t>Taxe foncière</t>
  </si>
  <si>
    <t>Prestations familiales</t>
  </si>
  <si>
    <t>Minimas sociaux</t>
  </si>
  <si>
    <t>Pension(s) alimentaire reçue(s)</t>
  </si>
  <si>
    <t>Charges copropriété</t>
  </si>
  <si>
    <t>Revenu restant disponible</t>
  </si>
  <si>
    <t>Revenu total disponible du foyer</t>
  </si>
  <si>
    <t>eau froide</t>
  </si>
  <si>
    <t>eau chaude</t>
  </si>
  <si>
    <t>chauffage</t>
  </si>
  <si>
    <t>Choix possibles</t>
  </si>
  <si>
    <t>Oui</t>
  </si>
  <si>
    <t>Non</t>
  </si>
  <si>
    <t>Versements financiers</t>
  </si>
  <si>
    <t>Pension(s) alimentaire(s)</t>
  </si>
  <si>
    <r>
      <t xml:space="preserve">Energie </t>
    </r>
    <r>
      <rPr>
        <sz val="10"/>
        <rFont val="Verdana"/>
        <family val="0"/>
      </rPr>
      <t>(hors charges copro)</t>
    </r>
  </si>
  <si>
    <t>Impôts + taxes foncière et habitation</t>
  </si>
  <si>
    <t>Crédits + pensions alimentaires</t>
  </si>
  <si>
    <t>Loyer + charges copro + assurances</t>
  </si>
  <si>
    <r>
      <t xml:space="preserve">Energie + eau </t>
    </r>
    <r>
      <rPr>
        <sz val="10"/>
        <rFont val="Verdana"/>
        <family val="0"/>
      </rPr>
      <t>(hors charges copro)</t>
    </r>
  </si>
  <si>
    <t>Alimentation + Hygiène et Entretien</t>
  </si>
  <si>
    <t>Distance domicile / travail (km aller)</t>
  </si>
  <si>
    <t>Nb trajets aller-retour / semaine</t>
  </si>
  <si>
    <t>Mode de transport domicile/travail</t>
  </si>
  <si>
    <t>Abonnement train/bus</t>
  </si>
  <si>
    <t>Frais de garde d'enfants</t>
  </si>
  <si>
    <t>Mutuelle de santé (ensemble du foyer)</t>
  </si>
  <si>
    <t>Mutuelle santé</t>
  </si>
  <si>
    <t>Loyer(s) ou remb. emprunt habitation</t>
  </si>
  <si>
    <t>Taxe habitation + audiovisuelle</t>
  </si>
  <si>
    <t>remplir 1 des 2 cellules</t>
  </si>
  <si>
    <t>Eau froide*</t>
  </si>
  <si>
    <t>Chauffage*</t>
  </si>
  <si>
    <t>Electricité*</t>
  </si>
  <si>
    <t>compris dans "chauffage"</t>
  </si>
  <si>
    <t>compris dans "électricité"</t>
  </si>
  <si>
    <t>Elec renseigné</t>
  </si>
  <si>
    <t>Chauff renseigné</t>
  </si>
  <si>
    <t>ECS compris ds chauff</t>
  </si>
  <si>
    <t>ECS compris ds élec</t>
  </si>
  <si>
    <t>ECS dans dépenses</t>
  </si>
  <si>
    <t>compris ni dans chauffage, ni dans électricité</t>
  </si>
  <si>
    <t xml:space="preserve">Si ces dépenses sont connues, elles peuvent être renseignées ci-dessous. </t>
  </si>
  <si>
    <t>Tableau des valeurs (déc. 2011)</t>
  </si>
  <si>
    <t xml:space="preserve">*attention, ne rien mettre si </t>
  </si>
  <si>
    <t xml:space="preserve">ces données sont comprises </t>
  </si>
  <si>
    <t>dans les charges de copro</t>
  </si>
  <si>
    <t>Dépenses de déplacement</t>
  </si>
  <si>
    <t>Informations générales</t>
  </si>
  <si>
    <t>Revenus financiers</t>
  </si>
  <si>
    <t>Dépenses du foyer</t>
  </si>
  <si>
    <t>Dépenses de consommation courantes</t>
  </si>
  <si>
    <t>Assurance vie</t>
  </si>
  <si>
    <t>Assurance scolaire</t>
  </si>
  <si>
    <t>(pour les autres dépenses : santé, loisirs, entretien voiture, gros équipements ...)</t>
  </si>
  <si>
    <t xml:space="preserve">provisions pour l'achat de gros équipements (voiture, électroménager, …). </t>
  </si>
  <si>
    <r>
      <t xml:space="preserve">provisions pour l'achat de </t>
    </r>
    <r>
      <rPr>
        <b/>
        <i/>
        <u val="single"/>
        <sz val="10"/>
        <rFont val="Verdana"/>
        <family val="2"/>
      </rPr>
      <t>gros équipements</t>
    </r>
    <r>
      <rPr>
        <b/>
        <i/>
        <sz val="10"/>
        <rFont val="Verdana"/>
        <family val="0"/>
      </rPr>
      <t xml:space="preserve"> (voiture, électroménager, …). </t>
    </r>
  </si>
  <si>
    <t>Sans coefficient lié au revenu</t>
  </si>
  <si>
    <t>Conseillères en Economie Sociale et Familiale du Conseil Général de Meurthe et Moselle</t>
  </si>
  <si>
    <t>Les prix des carburants sont également à actualiser régulièrement.</t>
  </si>
  <si>
    <t>Feuillet où se calcule les consommations énergétiques.</t>
  </si>
  <si>
    <t>D'où proviennent les valeurs utilisées ? Comment les actualiser ?</t>
  </si>
  <si>
    <t>Partenaires de l'opération :</t>
  </si>
  <si>
    <t>Questions et commentaires possible :</t>
  </si>
  <si>
    <t>http://pie.dromenet.org/</t>
  </si>
  <si>
    <t>44 rue Faventines - BP 1022 - 26010 Valence Cedex</t>
  </si>
  <si>
    <t xml:space="preserve">ADIL Information Energie (Emmanuel Delpont) </t>
  </si>
  <si>
    <t>tél: 04 75 79 04 71</t>
  </si>
  <si>
    <t>ed@dromenet.org</t>
  </si>
  <si>
    <t>Indemnités journalières</t>
  </si>
  <si>
    <t>Nombre de téléphones portables du foyer</t>
  </si>
  <si>
    <t>Abonnement(s) transport pour le travail</t>
  </si>
  <si>
    <t>Déplacements courses, loisirs … du foyer</t>
  </si>
  <si>
    <t>Pension(s) alimentaire(s) versée(s)</t>
  </si>
  <si>
    <t>Loyer / remb. emprunt logement</t>
  </si>
  <si>
    <t>Allocation logement ou APL</t>
  </si>
  <si>
    <t>Equipement électrique</t>
  </si>
  <si>
    <t>Classique, normal</t>
  </si>
  <si>
    <t>Faible, économe</t>
  </si>
  <si>
    <t>Important, consommateur</t>
  </si>
  <si>
    <t>Equipement élec.</t>
  </si>
  <si>
    <t>valeur retenue</t>
  </si>
  <si>
    <t>kWh / an / foyer</t>
  </si>
  <si>
    <t>Rurale</t>
  </si>
  <si>
    <t xml:space="preserve">Les dépenses liées à l'énergie sont en augmentation constante. Ainsi n'hésitez pas à prendre contact </t>
  </si>
  <si>
    <t xml:space="preserve">avec l'ADIL Information Energie pour que nous vous aidions à faire des économies importantes. </t>
  </si>
  <si>
    <t>44 rue Faventines, 26000 Valence</t>
  </si>
  <si>
    <t>04 75 79 04 13</t>
  </si>
  <si>
    <t>Logement</t>
  </si>
  <si>
    <t>Age du chef de famille</t>
  </si>
  <si>
    <t>Urbaine</t>
  </si>
  <si>
    <t>Ville moyenne</t>
  </si>
  <si>
    <t>Gaz Propane</t>
  </si>
  <si>
    <r>
      <rPr>
        <sz val="9"/>
        <rFont val="Verdana"/>
        <family val="2"/>
      </rPr>
      <t>Alimentation</t>
    </r>
    <r>
      <rPr>
        <sz val="8"/>
        <rFont val="Verdana"/>
        <family val="2"/>
      </rPr>
      <t>, cantine, hygiène, entretien, coiffeur</t>
    </r>
  </si>
  <si>
    <t>Poste calculé d'après le coût d'unité de consommation. Frais de cantines compris dedans.</t>
  </si>
  <si>
    <t>Dépenses en téléphonie (fixe et mobile)</t>
  </si>
  <si>
    <t>Dépenses en cigarettes du foyer / mois</t>
  </si>
  <si>
    <t>Lgt ancien, non réhabilité</t>
  </si>
  <si>
    <t>Propriétaire</t>
  </si>
  <si>
    <t>Habitat collectif</t>
  </si>
  <si>
    <t>Lgt récent (après 2000)</t>
  </si>
  <si>
    <t>Lgt réhabilité</t>
  </si>
  <si>
    <t>ans</t>
  </si>
  <si>
    <t xml:space="preserve">Inflation moyenne : </t>
  </si>
  <si>
    <t>% / an</t>
  </si>
  <si>
    <t xml:space="preserve">vidange et les pneus. </t>
  </si>
  <si>
    <t>(salaire, retraite, chômage, congés parental, …)</t>
  </si>
  <si>
    <t xml:space="preserve">charges prenant en compte : </t>
  </si>
  <si>
    <t>(+ 3c€ pneus et vidange)</t>
  </si>
  <si>
    <t>Fioul</t>
  </si>
  <si>
    <t>(charges fixes, de déplacement ou de consommation)</t>
  </si>
  <si>
    <t>Autres dépenses régulières</t>
  </si>
  <si>
    <t>(valeur "argus" à corriger)</t>
  </si>
  <si>
    <t>EVALUATION  BUDGET  MENSUEL  DU  MENAGE</t>
  </si>
  <si>
    <t>Salaire(s) ou autre revenu du foyer</t>
  </si>
  <si>
    <t>(consommations indiquées sur les factures)</t>
  </si>
  <si>
    <t>Les formules vont chercher automatiquement les valeurs dans les autres feuillets.</t>
  </si>
  <si>
    <t>=&gt; On peut se contenter de n'utiliser que cet onglet.</t>
  </si>
  <si>
    <t>Super sans plomb 95</t>
  </si>
  <si>
    <t>(Actualisation des données :  http://www.prix-carburants.gouv.fr/)</t>
  </si>
  <si>
    <t>et de l'Isère. Ils sont actualisés au taux de l'inflation dans l'onglet "Calculs charges".</t>
  </si>
  <si>
    <t>Ce poste comprend l'achat de lessive, produits d'entretien courants et matériels de</t>
  </si>
  <si>
    <t>Si elles sont inconnues, mettre "0". Dans ce cas, les valeurs retenues seront des moyennes nationales.</t>
  </si>
  <si>
    <r>
      <t xml:space="preserve">Remarque : ces dépenses ne prennent pas en compte les dépenses de </t>
    </r>
    <r>
      <rPr>
        <b/>
        <i/>
        <u val="single"/>
        <sz val="10"/>
        <rFont val="Verdana"/>
        <family val="2"/>
      </rPr>
      <t>santé</t>
    </r>
    <r>
      <rPr>
        <b/>
        <i/>
        <sz val="10"/>
        <rFont val="Verdana"/>
        <family val="0"/>
      </rPr>
      <t xml:space="preserve">, de </t>
    </r>
    <r>
      <rPr>
        <b/>
        <i/>
        <u val="single"/>
        <sz val="10"/>
        <rFont val="Verdana"/>
        <family val="2"/>
      </rPr>
      <t>loisirs</t>
    </r>
    <r>
      <rPr>
        <b/>
        <i/>
        <sz val="10"/>
        <rFont val="Verdana"/>
        <family val="0"/>
      </rPr>
      <t xml:space="preserve"> et les </t>
    </r>
  </si>
  <si>
    <t>Récapitulatif du budget global</t>
  </si>
  <si>
    <t>Budget mensuel total détaillé</t>
  </si>
  <si>
    <t>renseignements facultatifs</t>
  </si>
  <si>
    <t xml:space="preserve">Cases sur fond vert clair : </t>
  </si>
  <si>
    <t>Locataire HLM</t>
  </si>
  <si>
    <t>Locataire parc privé</t>
  </si>
  <si>
    <t>Maison individuelle isolée</t>
  </si>
  <si>
    <t>Maison individuelle mitoyenne</t>
  </si>
  <si>
    <t>En continu</t>
  </si>
  <si>
    <t>Matin, midi et soir</t>
  </si>
  <si>
    <t>Nuits et soirées</t>
  </si>
  <si>
    <t>Chauffage individuel</t>
  </si>
  <si>
    <t>Chauffage collectif</t>
  </si>
  <si>
    <t>Absence de chauffage</t>
  </si>
  <si>
    <t>Poêle à pétrole</t>
  </si>
  <si>
    <t>Logement insalubre</t>
  </si>
  <si>
    <t>Traces d'humidité</t>
  </si>
  <si>
    <t>Risques électrique</t>
  </si>
  <si>
    <t>Température intérieure observée</t>
  </si>
  <si>
    <t>°C</t>
  </si>
  <si>
    <t>Toutes</t>
  </si>
  <si>
    <t>Toutes, hors chambres</t>
  </si>
  <si>
    <t>Salon seul</t>
  </si>
  <si>
    <t>Inadapté</t>
  </si>
  <si>
    <t>Bon état, RAS</t>
  </si>
  <si>
    <t>Collectif</t>
  </si>
  <si>
    <t>(12 à 18 ans)</t>
  </si>
  <si>
    <t>(moins de 12 ans)</t>
  </si>
  <si>
    <t>Observatoire National de la Précarité Energétique</t>
  </si>
  <si>
    <t>Date :</t>
  </si>
  <si>
    <t>Association</t>
  </si>
  <si>
    <t>CAF</t>
  </si>
  <si>
    <t>CMS</t>
  </si>
  <si>
    <t>CLH</t>
  </si>
  <si>
    <t>CCAS</t>
  </si>
  <si>
    <t>Code fiche :</t>
  </si>
  <si>
    <t>(initiales+n°, ex : ed19)</t>
  </si>
  <si>
    <t>Agriculteurs exploitants</t>
  </si>
  <si>
    <t>Professions intermédiaires</t>
  </si>
  <si>
    <t>Employés</t>
  </si>
  <si>
    <t>Ouvriers</t>
  </si>
  <si>
    <t>Retraités</t>
  </si>
  <si>
    <t>Sans activité professionnelle</t>
  </si>
  <si>
    <t>Cadres supérieures</t>
  </si>
  <si>
    <t>Rédacteur fiche:</t>
  </si>
  <si>
    <t>Artisans, commerçants, chefs d’entreprise</t>
  </si>
  <si>
    <t>Lgt 5</t>
  </si>
  <si>
    <t>Lgt 6</t>
  </si>
  <si>
    <t>Lgt 7</t>
  </si>
  <si>
    <t>Lgt 8</t>
  </si>
  <si>
    <t>Lgt 9</t>
  </si>
  <si>
    <t>Lgt 10</t>
  </si>
  <si>
    <t>Fiche statistique à retourner à l'ADIL Information Energie, pour alimenter l'ONPE.</t>
  </si>
  <si>
    <t>Contact :</t>
  </si>
  <si>
    <t>Emmanuel Delpont</t>
  </si>
  <si>
    <t>04 75 79 04 39</t>
  </si>
  <si>
    <t>(format excel de préférence)</t>
  </si>
  <si>
    <t>(renseignés automatiquement)</t>
  </si>
  <si>
    <t>Données statistiques à renseigner :</t>
  </si>
  <si>
    <t>Renseignements complémentaires:</t>
  </si>
  <si>
    <r>
      <t>Organisme</t>
    </r>
    <r>
      <rPr>
        <vertAlign val="superscript"/>
        <sz val="12"/>
        <rFont val="Verdana"/>
        <family val="2"/>
      </rPr>
      <t xml:space="preserve"> 1</t>
    </r>
    <r>
      <rPr>
        <sz val="12"/>
        <rFont val="Verdana"/>
        <family val="2"/>
      </rPr>
      <t xml:space="preserve"> :</t>
    </r>
  </si>
  <si>
    <r>
      <t>Catégorie socio-professionnelle</t>
    </r>
    <r>
      <rPr>
        <vertAlign val="superscript"/>
        <sz val="12"/>
        <rFont val="Verdana"/>
        <family val="2"/>
      </rPr>
      <t xml:space="preserve"> 2</t>
    </r>
  </si>
  <si>
    <r>
      <t>Occupation du logement</t>
    </r>
    <r>
      <rPr>
        <vertAlign val="superscript"/>
        <sz val="12"/>
        <rFont val="Verdana"/>
        <family val="2"/>
      </rPr>
      <t xml:space="preserve"> 3</t>
    </r>
  </si>
  <si>
    <r>
      <t>Type de commune</t>
    </r>
    <r>
      <rPr>
        <vertAlign val="superscript"/>
        <sz val="12"/>
        <rFont val="Verdana"/>
        <family val="2"/>
      </rPr>
      <t xml:space="preserve"> 4</t>
    </r>
  </si>
  <si>
    <r>
      <t>Statut d'occupation</t>
    </r>
    <r>
      <rPr>
        <vertAlign val="superscript"/>
        <sz val="11"/>
        <rFont val="Verdana"/>
        <family val="2"/>
      </rPr>
      <t xml:space="preserve"> 5</t>
    </r>
  </si>
  <si>
    <r>
      <t>Type logement</t>
    </r>
    <r>
      <rPr>
        <vertAlign val="superscript"/>
        <sz val="11"/>
        <rFont val="Verdana"/>
        <family val="2"/>
      </rPr>
      <t xml:space="preserve"> 6</t>
    </r>
  </si>
  <si>
    <r>
      <t>Ancienneté logement</t>
    </r>
    <r>
      <rPr>
        <vertAlign val="superscript"/>
        <sz val="11"/>
        <rFont val="Verdana"/>
        <family val="2"/>
      </rPr>
      <t xml:space="preserve"> 7</t>
    </r>
  </si>
  <si>
    <r>
      <t>Etat logement</t>
    </r>
    <r>
      <rPr>
        <vertAlign val="superscript"/>
        <sz val="11"/>
        <rFont val="Verdana"/>
        <family val="2"/>
      </rPr>
      <t xml:space="preserve"> 8</t>
    </r>
  </si>
  <si>
    <r>
      <t>Type chauffage</t>
    </r>
    <r>
      <rPr>
        <vertAlign val="superscript"/>
        <sz val="11"/>
        <rFont val="Verdana"/>
        <family val="2"/>
      </rPr>
      <t xml:space="preserve"> 9</t>
    </r>
  </si>
  <si>
    <r>
      <t>Prog horaires chauffage</t>
    </r>
    <r>
      <rPr>
        <vertAlign val="superscript"/>
        <sz val="11"/>
        <rFont val="Verdana"/>
        <family val="2"/>
      </rPr>
      <t xml:space="preserve"> 10</t>
    </r>
  </si>
  <si>
    <r>
      <t>Pièces chauffées</t>
    </r>
    <r>
      <rPr>
        <vertAlign val="superscript"/>
        <sz val="11"/>
        <rFont val="Verdana"/>
        <family val="2"/>
      </rPr>
      <t xml:space="preserve"> 11</t>
    </r>
  </si>
  <si>
    <t>Type de commune 4</t>
  </si>
  <si>
    <t>Lgt 11</t>
  </si>
  <si>
    <t>1: Organisme</t>
  </si>
  <si>
    <t>2: Catégorie socio-professionnelle</t>
  </si>
  <si>
    <t>3: Occupation du logement</t>
  </si>
  <si>
    <t>Propositions aux questions précédentes :</t>
  </si>
  <si>
    <t>Inflation retenue / déc 2011</t>
  </si>
  <si>
    <t>Collective</t>
  </si>
  <si>
    <t>Individuelle</t>
  </si>
  <si>
    <t>(doublé si ECS collectif)</t>
  </si>
  <si>
    <t>Remboursement crédit à la consommation</t>
  </si>
  <si>
    <t>Versements financiers (enfants, livret A…)</t>
  </si>
  <si>
    <t>Moyennes Mai 2015</t>
  </si>
  <si>
    <t>(Actualisation des données "http://elyotherm.fr/guides-pratiques/argus-energies")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</si>
</sst>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&quot;€&quot;;[Red]#,##0.00&quot;€&quot;"/>
    <numFmt numFmtId="173" formatCode="#,##0.000&quot;€&quot;;[Red]#,##0.000&quot;€&quot;"/>
    <numFmt numFmtId="174" formatCode="#,##0.00\ [$cts€-1]"/>
    <numFmt numFmtId="175" formatCode="#,##0\ [$kWh]"/>
    <numFmt numFmtId="176" formatCode="#,##0.00\ [$€-1];[Red]#,##0.00\ [$€-1]"/>
    <numFmt numFmtId="177" formatCode="#,##0.00&quot;€&quot;"/>
    <numFmt numFmtId="178" formatCode="#,##0.00\ &quot;€&quot;"/>
    <numFmt numFmtId="179" formatCode="[$-40C]dddd\ d\ mmmm\ yyyy"/>
    <numFmt numFmtId="180" formatCode="#,##0&quot;€&quot;;[Red]#,##0&quot;€&quot;"/>
    <numFmt numFmtId="181" formatCode="0.0"/>
    <numFmt numFmtId="182" formatCode="0.000"/>
    <numFmt numFmtId="183" formatCode="#,##0\ &quot;€&quot;"/>
    <numFmt numFmtId="184" formatCode="#,##0.000"/>
    <numFmt numFmtId="185" formatCode="#,##0.0"/>
    <numFmt numFmtId="186" formatCode="[$-40C]mmm\-yy;@"/>
    <numFmt numFmtId="187" formatCode="_-* #,##0.0_€_-;\-* #,##0.0_€_-;_-* &quot;-&quot;??_€_-;_-@_-"/>
    <numFmt numFmtId="188" formatCode="_-* #,##0_€_-;\-* #,##0_€_-;_-* &quot;-&quot;??_€_-;_-@_-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dd/mm/yy;@"/>
  </numFmts>
  <fonts count="10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2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color indexed="10"/>
      <name val="Verdana"/>
      <family val="2"/>
    </font>
    <font>
      <sz val="10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23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0"/>
      <color indexed="11"/>
      <name val="Verdana"/>
      <family val="2"/>
    </font>
    <font>
      <sz val="9"/>
      <name val="Verdana"/>
      <family val="2"/>
    </font>
    <font>
      <b/>
      <sz val="8"/>
      <name val="Tahoma"/>
      <family val="2"/>
    </font>
    <font>
      <b/>
      <i/>
      <u val="single"/>
      <sz val="10"/>
      <name val="Verdana"/>
      <family val="2"/>
    </font>
    <font>
      <b/>
      <i/>
      <sz val="11"/>
      <name val="Verdana"/>
      <family val="2"/>
    </font>
    <font>
      <sz val="12"/>
      <color indexed="55"/>
      <name val="Verdana"/>
      <family val="2"/>
    </font>
    <font>
      <sz val="14"/>
      <color indexed="63"/>
      <name val="Arial"/>
      <family val="2"/>
    </font>
    <font>
      <sz val="14"/>
      <color indexed="62"/>
      <name val="Verdana"/>
      <family val="2"/>
    </font>
    <font>
      <b/>
      <sz val="10"/>
      <color indexed="23"/>
      <name val="Verdana"/>
      <family val="2"/>
    </font>
    <font>
      <sz val="10"/>
      <color indexed="62"/>
      <name val="Verdana"/>
      <family val="2"/>
    </font>
    <font>
      <sz val="10"/>
      <color indexed="27"/>
      <name val="Verdana"/>
      <family val="2"/>
    </font>
    <font>
      <vertAlign val="superscript"/>
      <sz val="12"/>
      <name val="Verdana"/>
      <family val="2"/>
    </font>
    <font>
      <vertAlign val="superscript"/>
      <sz val="11"/>
      <name val="Verdana"/>
      <family val="2"/>
    </font>
    <font>
      <b/>
      <sz val="8"/>
      <color indexed="55"/>
      <name val="Verdana"/>
      <family val="2"/>
    </font>
    <font>
      <sz val="9.25"/>
      <color indexed="8"/>
      <name val="Arial"/>
      <family val="0"/>
    </font>
    <font>
      <sz val="6.3"/>
      <color indexed="8"/>
      <name val="Arial"/>
      <family val="0"/>
    </font>
    <font>
      <sz val="7.1"/>
      <color indexed="8"/>
      <name val="Arial"/>
      <family val="0"/>
    </font>
    <font>
      <sz val="10"/>
      <color indexed="8"/>
      <name val="Arial"/>
      <family val="0"/>
    </font>
    <font>
      <sz val="6.5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Verdana"/>
      <family val="2"/>
    </font>
    <font>
      <i/>
      <sz val="10"/>
      <color indexed="55"/>
      <name val="Verdana"/>
      <family val="2"/>
    </font>
    <font>
      <sz val="11"/>
      <color indexed="23"/>
      <name val="Verdana"/>
      <family val="2"/>
    </font>
    <font>
      <sz val="10"/>
      <color indexed="21"/>
      <name val="Verdana"/>
      <family val="2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0"/>
      <color indexed="58"/>
      <name val="Arial"/>
      <family val="0"/>
    </font>
    <font>
      <sz val="9"/>
      <color indexed="58"/>
      <name val="Arial"/>
      <family val="0"/>
    </font>
    <font>
      <sz val="16"/>
      <color indexed="8"/>
      <name val="Arial"/>
      <family val="0"/>
    </font>
    <font>
      <sz val="16"/>
      <color indexed="58"/>
      <name val="Arial"/>
      <family val="0"/>
    </font>
    <font>
      <i/>
      <sz val="7"/>
      <color indexed="8"/>
      <name val="Arial"/>
      <family val="0"/>
    </font>
    <font>
      <sz val="18"/>
      <color indexed="58"/>
      <name val="Arial"/>
      <family val="0"/>
    </font>
    <font>
      <sz val="20"/>
      <color indexed="8"/>
      <name val="Times New Roman"/>
      <family val="0"/>
    </font>
    <font>
      <sz val="20"/>
      <color indexed="52"/>
      <name val="Times New Roman"/>
      <family val="0"/>
    </font>
    <font>
      <sz val="18"/>
      <color indexed="52"/>
      <name val="Arial"/>
      <family val="0"/>
    </font>
    <font>
      <sz val="20"/>
      <color indexed="48"/>
      <name val="Times New Roman"/>
      <family val="0"/>
    </font>
    <font>
      <sz val="18"/>
      <color indexed="48"/>
      <name val="Arial"/>
      <family val="0"/>
    </font>
    <font>
      <sz val="18"/>
      <color indexed="48"/>
      <name val="Times New Roman"/>
      <family val="0"/>
    </font>
    <font>
      <sz val="18"/>
      <color indexed="8"/>
      <name val="Times New Roman"/>
      <family val="0"/>
    </font>
    <font>
      <sz val="18"/>
      <color indexed="52"/>
      <name val="Times New Roman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Verdana"/>
      <family val="2"/>
    </font>
    <font>
      <i/>
      <sz val="10"/>
      <color theme="0" tint="-0.3499799966812134"/>
      <name val="Verdana"/>
      <family val="2"/>
    </font>
    <font>
      <sz val="11"/>
      <color theme="0" tint="-0.4999699890613556"/>
      <name val="Verdana"/>
      <family val="2"/>
    </font>
    <font>
      <sz val="10"/>
      <color rgb="FF00B050"/>
      <name val="Verdana"/>
      <family val="2"/>
    </font>
    <font>
      <b/>
      <sz val="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0" borderId="2" applyNumberFormat="0" applyFill="0" applyAlignment="0" applyProtection="0"/>
    <xf numFmtId="0" fontId="85" fillId="28" borderId="1" applyNumberFormat="0" applyAlignment="0" applyProtection="0"/>
    <xf numFmtId="0" fontId="8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88" fillId="27" borderId="4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32" borderId="9" applyNumberFormat="0" applyAlignment="0" applyProtection="0"/>
  </cellStyleXfs>
  <cellXfs count="3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33" borderId="16" xfId="0" applyFont="1" applyFill="1" applyBorder="1" applyAlignment="1">
      <alignment horizontal="centerContinuous"/>
    </xf>
    <xf numFmtId="0" fontId="7" fillId="33" borderId="17" xfId="0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/>
    </xf>
    <xf numFmtId="0" fontId="16" fillId="33" borderId="17" xfId="0" applyFont="1" applyFill="1" applyBorder="1" applyAlignment="1">
      <alignment horizontal="centerContinuous"/>
    </xf>
    <xf numFmtId="0" fontId="17" fillId="33" borderId="18" xfId="0" applyFont="1" applyFill="1" applyBorder="1" applyAlignment="1">
      <alignment horizontal="centerContinuous"/>
    </xf>
    <xf numFmtId="0" fontId="17" fillId="33" borderId="16" xfId="0" applyFont="1" applyFill="1" applyBorder="1" applyAlignment="1">
      <alignment horizontal="centerContinuous"/>
    </xf>
    <xf numFmtId="0" fontId="0" fillId="35" borderId="0" xfId="0" applyFont="1" applyFill="1" applyAlignment="1">
      <alignment/>
    </xf>
    <xf numFmtId="0" fontId="0" fillId="0" borderId="0" xfId="0" applyAlignment="1">
      <alignment horizontal="centerContinuous"/>
    </xf>
    <xf numFmtId="0" fontId="14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17" fillId="33" borderId="16" xfId="0" applyFont="1" applyFill="1" applyBorder="1" applyAlignment="1" applyProtection="1">
      <alignment horizontal="centerContinuous"/>
      <protection locked="0"/>
    </xf>
    <xf numFmtId="0" fontId="7" fillId="33" borderId="17" xfId="0" applyFont="1" applyFill="1" applyBorder="1" applyAlignment="1" applyProtection="1">
      <alignment horizontal="centerContinuous"/>
      <protection locked="0"/>
    </xf>
    <xf numFmtId="0" fontId="7" fillId="33" borderId="18" xfId="0" applyFont="1" applyFill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" fillId="35" borderId="0" xfId="0" applyNumberFormat="1" applyFont="1" applyFill="1" applyAlignment="1" applyProtection="1">
      <alignment horizontal="right"/>
      <protection locked="0"/>
    </xf>
    <xf numFmtId="1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175" fontId="7" fillId="0" borderId="0" xfId="0" applyNumberFormat="1" applyFont="1" applyBorder="1" applyAlignment="1" applyProtection="1">
      <alignment horizontal="center"/>
      <protection locked="0"/>
    </xf>
    <xf numFmtId="175" fontId="7" fillId="0" borderId="0" xfId="0" applyNumberFormat="1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175" fontId="1" fillId="0" borderId="0" xfId="0" applyNumberFormat="1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0" fontId="7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0" fontId="1" fillId="35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Continuous"/>
      <protection locked="0"/>
    </xf>
    <xf numFmtId="0" fontId="0" fillId="0" borderId="23" xfId="0" applyBorder="1" applyAlignment="1" applyProtection="1">
      <alignment horizontal="centerContinuous"/>
      <protection locked="0"/>
    </xf>
    <xf numFmtId="0" fontId="0" fillId="0" borderId="24" xfId="0" applyFont="1" applyBorder="1" applyAlignment="1" applyProtection="1">
      <alignment/>
      <protection locked="0"/>
    </xf>
    <xf numFmtId="0" fontId="1" fillId="35" borderId="0" xfId="0" applyNumberFormat="1" applyFont="1" applyFill="1" applyBorder="1" applyAlignment="1" applyProtection="1">
      <alignment horizontal="centerContinuous"/>
      <protection locked="0"/>
    </xf>
    <xf numFmtId="0" fontId="1" fillId="35" borderId="25" xfId="0" applyNumberFormat="1" applyFont="1" applyFill="1" applyBorder="1" applyAlignment="1" applyProtection="1">
      <alignment horizontal="centerContinuous"/>
      <protection locked="0"/>
    </xf>
    <xf numFmtId="0" fontId="0" fillId="35" borderId="0" xfId="0" applyNumberFormat="1" applyFont="1" applyFill="1" applyBorder="1" applyAlignment="1" applyProtection="1">
      <alignment horizontal="right"/>
      <protection locked="0"/>
    </xf>
    <xf numFmtId="0" fontId="0" fillId="35" borderId="25" xfId="0" applyNumberFormat="1" applyFon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1" fillId="0" borderId="27" xfId="0" applyNumberFormat="1" applyFont="1" applyFill="1" applyBorder="1" applyAlignment="1" applyProtection="1">
      <alignment horizontal="right"/>
      <protection locked="0"/>
    </xf>
    <xf numFmtId="0" fontId="0" fillId="35" borderId="28" xfId="0" applyNumberFormat="1" applyFont="1" applyFill="1" applyBorder="1" applyAlignment="1" applyProtection="1">
      <alignment horizontal="right"/>
      <protection locked="0"/>
    </xf>
    <xf numFmtId="0" fontId="0" fillId="35" borderId="28" xfId="0" applyNumberFormat="1" applyFont="1" applyFill="1" applyBorder="1" applyAlignment="1" applyProtection="1">
      <alignment horizontal="left"/>
      <protection locked="0"/>
    </xf>
    <xf numFmtId="188" fontId="1" fillId="35" borderId="0" xfId="47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3" fontId="1" fillId="35" borderId="0" xfId="0" applyNumberFormat="1" applyFont="1" applyFill="1" applyAlignment="1" applyProtection="1">
      <alignment horizontal="right"/>
      <protection locked="0"/>
    </xf>
    <xf numFmtId="0" fontId="7" fillId="34" borderId="29" xfId="0" applyFont="1" applyFill="1" applyBorder="1" applyAlignment="1" applyProtection="1">
      <alignment vertical="center"/>
      <protection locked="0"/>
    </xf>
    <xf numFmtId="0" fontId="0" fillId="34" borderId="30" xfId="0" applyFill="1" applyBorder="1" applyAlignment="1" applyProtection="1">
      <alignment horizontal="center" vertical="center" wrapText="1"/>
      <protection locked="0"/>
    </xf>
    <xf numFmtId="0" fontId="0" fillId="34" borderId="30" xfId="0" applyFill="1" applyBorder="1" applyAlignment="1" applyProtection="1">
      <alignment vertical="center"/>
      <protection locked="0"/>
    </xf>
    <xf numFmtId="0" fontId="7" fillId="34" borderId="30" xfId="0" applyFont="1" applyFill="1" applyBorder="1" applyAlignment="1" applyProtection="1">
      <alignment vertical="center"/>
      <protection locked="0"/>
    </xf>
    <xf numFmtId="0" fontId="7" fillId="34" borderId="31" xfId="0" applyFont="1" applyFill="1" applyBorder="1" applyAlignment="1" applyProtection="1">
      <alignment vertical="center"/>
      <protection locked="0"/>
    </xf>
    <xf numFmtId="0" fontId="1" fillId="34" borderId="32" xfId="0" applyFont="1" applyFill="1" applyBorder="1" applyAlignment="1" applyProtection="1">
      <alignment horizontal="centerContinuous" vertical="center" wrapText="1"/>
      <protection locked="0"/>
    </xf>
    <xf numFmtId="0" fontId="1" fillId="34" borderId="33" xfId="0" applyFont="1" applyFill="1" applyBorder="1" applyAlignment="1" applyProtection="1">
      <alignment vertical="center"/>
      <protection locked="0"/>
    </xf>
    <xf numFmtId="0" fontId="1" fillId="34" borderId="34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" fillId="34" borderId="35" xfId="0" applyFont="1" applyFill="1" applyBorder="1" applyAlignment="1" applyProtection="1">
      <alignment horizontal="centerContinuous" vertical="center" wrapText="1"/>
      <protection locked="0"/>
    </xf>
    <xf numFmtId="0" fontId="1" fillId="34" borderId="22" xfId="0" applyFont="1" applyFill="1" applyBorder="1" applyAlignment="1" applyProtection="1">
      <alignment vertical="center"/>
      <protection locked="0"/>
    </xf>
    <xf numFmtId="0" fontId="1" fillId="34" borderId="36" xfId="0" applyFont="1" applyFill="1" applyBorder="1" applyAlignment="1" applyProtection="1">
      <alignment vertical="center"/>
      <protection locked="0"/>
    </xf>
    <xf numFmtId="0" fontId="1" fillId="34" borderId="37" xfId="0" applyFont="1" applyFill="1" applyBorder="1" applyAlignment="1" applyProtection="1">
      <alignment horizontal="centerContinuous" vertical="center" wrapText="1"/>
      <protection locked="0"/>
    </xf>
    <xf numFmtId="0" fontId="1" fillId="34" borderId="38" xfId="0" applyFont="1" applyFill="1" applyBorder="1" applyAlignment="1" applyProtection="1">
      <alignment vertical="center"/>
      <protection locked="0"/>
    </xf>
    <xf numFmtId="0" fontId="1" fillId="34" borderId="39" xfId="0" applyFont="1" applyFill="1" applyBorder="1" applyAlignment="1" applyProtection="1">
      <alignment horizontal="centerContinuous" vertical="center" wrapText="1"/>
      <protection locked="0"/>
    </xf>
    <xf numFmtId="0" fontId="1" fillId="34" borderId="40" xfId="0" applyFont="1" applyFill="1" applyBorder="1" applyAlignment="1" applyProtection="1">
      <alignment vertical="center"/>
      <protection locked="0"/>
    </xf>
    <xf numFmtId="0" fontId="1" fillId="34" borderId="41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1" fillId="34" borderId="42" xfId="0" applyFont="1" applyFill="1" applyBorder="1" applyAlignment="1" applyProtection="1">
      <alignment horizontal="centerContinuous" vertical="center" wrapText="1"/>
      <protection locked="0"/>
    </xf>
    <xf numFmtId="0" fontId="1" fillId="34" borderId="43" xfId="0" applyFont="1" applyFill="1" applyBorder="1" applyAlignment="1" applyProtection="1">
      <alignment vertical="center"/>
      <protection locked="0"/>
    </xf>
    <xf numFmtId="0" fontId="1" fillId="34" borderId="44" xfId="0" applyFont="1" applyFill="1" applyBorder="1" applyAlignment="1" applyProtection="1">
      <alignment vertical="center"/>
      <protection locked="0"/>
    </xf>
    <xf numFmtId="0" fontId="1" fillId="34" borderId="45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" fillId="34" borderId="29" xfId="0" applyFont="1" applyFill="1" applyBorder="1" applyAlignment="1" applyProtection="1">
      <alignment horizontal="center" vertical="center" wrapText="1"/>
      <protection locked="0"/>
    </xf>
    <xf numFmtId="0" fontId="1" fillId="34" borderId="30" xfId="0" applyFont="1" applyFill="1" applyBorder="1" applyAlignment="1" applyProtection="1">
      <alignment vertical="center"/>
      <protection locked="0"/>
    </xf>
    <xf numFmtId="0" fontId="1" fillId="34" borderId="31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7" fillId="0" borderId="46" xfId="0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3" fontId="7" fillId="34" borderId="29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3" fontId="1" fillId="34" borderId="47" xfId="0" applyNumberFormat="1" applyFont="1" applyFill="1" applyBorder="1" applyAlignment="1" applyProtection="1">
      <alignment vertical="center"/>
      <protection/>
    </xf>
    <xf numFmtId="3" fontId="1" fillId="34" borderId="48" xfId="0" applyNumberFormat="1" applyFont="1" applyFill="1" applyBorder="1" applyAlignment="1" applyProtection="1">
      <alignment vertical="center"/>
      <protection/>
    </xf>
    <xf numFmtId="3" fontId="1" fillId="34" borderId="49" xfId="0" applyNumberFormat="1" applyFont="1" applyFill="1" applyBorder="1" applyAlignment="1" applyProtection="1">
      <alignment vertical="center"/>
      <protection/>
    </xf>
    <xf numFmtId="3" fontId="1" fillId="34" borderId="46" xfId="0" applyNumberFormat="1" applyFont="1" applyFill="1" applyBorder="1" applyAlignment="1" applyProtection="1">
      <alignment vertical="center"/>
      <protection/>
    </xf>
    <xf numFmtId="3" fontId="1" fillId="34" borderId="5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3" fontId="1" fillId="34" borderId="3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" fillId="0" borderId="0" xfId="0" applyFont="1" applyAlignment="1" applyProtection="1" quotePrefix="1">
      <alignment/>
      <protection locked="0"/>
    </xf>
    <xf numFmtId="0" fontId="1" fillId="35" borderId="0" xfId="0" applyNumberFormat="1" applyFont="1" applyFill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35" borderId="0" xfId="0" applyFill="1" applyAlignment="1">
      <alignment/>
    </xf>
    <xf numFmtId="49" fontId="1" fillId="35" borderId="0" xfId="0" applyNumberFormat="1" applyFont="1" applyFill="1" applyAlignment="1">
      <alignment horizontal="right"/>
    </xf>
    <xf numFmtId="0" fontId="0" fillId="35" borderId="51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181" fontId="0" fillId="35" borderId="52" xfId="0" applyNumberFormat="1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17" fontId="0" fillId="35" borderId="0" xfId="0" applyNumberFormat="1" applyFill="1" applyAlignment="1">
      <alignment/>
    </xf>
    <xf numFmtId="3" fontId="1" fillId="34" borderId="0" xfId="0" applyNumberFormat="1" applyFont="1" applyFill="1" applyAlignment="1" applyProtection="1">
      <alignment/>
      <protection/>
    </xf>
    <xf numFmtId="1" fontId="1" fillId="34" borderId="0" xfId="0" applyNumberFormat="1" applyFont="1" applyFill="1" applyAlignment="1" applyProtection="1">
      <alignment/>
      <protection/>
    </xf>
    <xf numFmtId="1" fontId="1" fillId="34" borderId="0" xfId="0" applyNumberFormat="1" applyFon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10" fillId="34" borderId="29" xfId="0" applyNumberFormat="1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Continuous"/>
      <protection locked="0"/>
    </xf>
    <xf numFmtId="0" fontId="0" fillId="33" borderId="18" xfId="0" applyFill="1" applyBorder="1" applyAlignment="1" applyProtection="1">
      <alignment horizontal="centerContinuous"/>
      <protection locked="0"/>
    </xf>
    <xf numFmtId="0" fontId="8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50" xfId="0" applyFont="1" applyBorder="1" applyAlignment="1" applyProtection="1">
      <alignment horizontal="centerContinuous"/>
      <protection locked="0"/>
    </xf>
    <xf numFmtId="0" fontId="0" fillId="0" borderId="43" xfId="0" applyBorder="1" applyAlignment="1" applyProtection="1">
      <alignment horizontal="centerContinuous"/>
      <protection locked="0"/>
    </xf>
    <xf numFmtId="0" fontId="0" fillId="0" borderId="30" xfId="0" applyBorder="1" applyAlignment="1" applyProtection="1">
      <alignment horizontal="centerContinuous"/>
      <protection locked="0"/>
    </xf>
    <xf numFmtId="0" fontId="0" fillId="0" borderId="29" xfId="0" applyBorder="1" applyAlignment="1" applyProtection="1">
      <alignment horizontal="centerContinuous"/>
      <protection locked="0"/>
    </xf>
    <xf numFmtId="0" fontId="0" fillId="0" borderId="31" xfId="0" applyBorder="1" applyAlignment="1" applyProtection="1">
      <alignment horizontal="centerContinuous"/>
      <protection locked="0"/>
    </xf>
    <xf numFmtId="0" fontId="0" fillId="0" borderId="50" xfId="0" applyBorder="1" applyAlignment="1" applyProtection="1">
      <alignment horizontal="centerContinuous"/>
      <protection locked="0"/>
    </xf>
    <xf numFmtId="0" fontId="0" fillId="0" borderId="44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54" xfId="0" applyBorder="1" applyAlignment="1" applyProtection="1">
      <alignment horizontal="centerContinuous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185" fontId="0" fillId="0" borderId="58" xfId="0" applyNumberFormat="1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185" fontId="0" fillId="0" borderId="60" xfId="0" applyNumberForma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185" fontId="0" fillId="0" borderId="62" xfId="0" applyNumberFormat="1" applyBorder="1" applyAlignment="1" applyProtection="1">
      <alignment/>
      <protection locked="0"/>
    </xf>
    <xf numFmtId="0" fontId="1" fillId="34" borderId="16" xfId="0" applyFont="1" applyFill="1" applyBorder="1" applyAlignment="1" applyProtection="1">
      <alignment horizontal="centerContinuous" vertical="center"/>
      <protection locked="0"/>
    </xf>
    <xf numFmtId="0" fontId="1" fillId="34" borderId="17" xfId="0" applyFont="1" applyFill="1" applyBorder="1" applyAlignment="1" applyProtection="1">
      <alignment horizontal="centerContinuous" vertical="center"/>
      <protection locked="0"/>
    </xf>
    <xf numFmtId="0" fontId="0" fillId="34" borderId="17" xfId="0" applyFill="1" applyBorder="1" applyAlignment="1" applyProtection="1">
      <alignment horizontal="centerContinuous" vertical="center"/>
      <protection locked="0"/>
    </xf>
    <xf numFmtId="0" fontId="1" fillId="34" borderId="63" xfId="0" applyFont="1" applyFill="1" applyBorder="1" applyAlignment="1" applyProtection="1">
      <alignment horizontal="centerContinuous" vertical="center"/>
      <protection locked="0"/>
    </xf>
    <xf numFmtId="0" fontId="1" fillId="34" borderId="18" xfId="0" applyFont="1" applyFill="1" applyBorder="1" applyAlignment="1" applyProtection="1">
      <alignment horizontal="centerContinuous" vertical="center"/>
      <protection locked="0"/>
    </xf>
    <xf numFmtId="0" fontId="1" fillId="34" borderId="64" xfId="0" applyFont="1" applyFill="1" applyBorder="1" applyAlignment="1" applyProtection="1">
      <alignment horizontal="centerContinuous"/>
      <protection locked="0"/>
    </xf>
    <xf numFmtId="0" fontId="1" fillId="34" borderId="39" xfId="0" applyFont="1" applyFill="1" applyBorder="1" applyAlignment="1" applyProtection="1">
      <alignment horizontal="centerContinuous"/>
      <protection locked="0"/>
    </xf>
    <xf numFmtId="0" fontId="0" fillId="34" borderId="39" xfId="0" applyFill="1" applyBorder="1" applyAlignment="1" applyProtection="1">
      <alignment horizontal="centerContinuous"/>
      <protection locked="0"/>
    </xf>
    <xf numFmtId="0" fontId="1" fillId="34" borderId="65" xfId="0" applyFont="1" applyFill="1" applyBorder="1" applyAlignment="1" applyProtection="1">
      <alignment horizontal="centerContinuous"/>
      <protection locked="0"/>
    </xf>
    <xf numFmtId="0" fontId="1" fillId="34" borderId="41" xfId="0" applyFont="1" applyFill="1" applyBorder="1" applyAlignment="1" applyProtection="1">
      <alignment horizontal="centerContinuous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19" fillId="34" borderId="67" xfId="0" applyFont="1" applyFill="1" applyBorder="1" applyAlignment="1" applyProtection="1">
      <alignment horizontal="centerContinuous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31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183" fontId="0" fillId="34" borderId="68" xfId="0" applyNumberFormat="1" applyFont="1" applyFill="1" applyBorder="1" applyAlignment="1" applyProtection="1">
      <alignment horizontal="center"/>
      <protection locked="0"/>
    </xf>
    <xf numFmtId="183" fontId="0" fillId="34" borderId="3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1" fontId="13" fillId="0" borderId="0" xfId="0" applyNumberFormat="1" applyFont="1" applyAlignment="1" applyProtection="1">
      <alignment/>
      <protection locked="0"/>
    </xf>
    <xf numFmtId="185" fontId="0" fillId="0" borderId="52" xfId="0" applyNumberFormat="1" applyBorder="1" applyAlignment="1" applyProtection="1">
      <alignment/>
      <protection/>
    </xf>
    <xf numFmtId="185" fontId="0" fillId="0" borderId="58" xfId="0" applyNumberFormat="1" applyBorder="1" applyAlignment="1" applyProtection="1">
      <alignment/>
      <protection/>
    </xf>
    <xf numFmtId="185" fontId="0" fillId="0" borderId="44" xfId="0" applyNumberFormat="1" applyBorder="1" applyAlignment="1" applyProtection="1">
      <alignment/>
      <protection/>
    </xf>
    <xf numFmtId="185" fontId="0" fillId="0" borderId="50" xfId="0" applyNumberFormat="1" applyBorder="1" applyAlignment="1" applyProtection="1">
      <alignment/>
      <protection/>
    </xf>
    <xf numFmtId="185" fontId="0" fillId="0" borderId="60" xfId="0" applyNumberFormat="1" applyBorder="1" applyAlignment="1" applyProtection="1">
      <alignment/>
      <protection/>
    </xf>
    <xf numFmtId="185" fontId="0" fillId="0" borderId="54" xfId="0" applyNumberFormat="1" applyBorder="1" applyAlignment="1" applyProtection="1">
      <alignment/>
      <protection/>
    </xf>
    <xf numFmtId="185" fontId="0" fillId="0" borderId="46" xfId="0" applyNumberFormat="1" applyBorder="1" applyAlignment="1" applyProtection="1">
      <alignment/>
      <protection/>
    </xf>
    <xf numFmtId="185" fontId="0" fillId="0" borderId="62" xfId="0" applyNumberFormat="1" applyBorder="1" applyAlignment="1" applyProtection="1">
      <alignment/>
      <protection/>
    </xf>
    <xf numFmtId="185" fontId="0" fillId="0" borderId="41" xfId="0" applyNumberFormat="1" applyBorder="1" applyAlignment="1" applyProtection="1">
      <alignment/>
      <protection/>
    </xf>
    <xf numFmtId="183" fontId="0" fillId="34" borderId="66" xfId="0" applyNumberFormat="1" applyFont="1" applyFill="1" applyBorder="1" applyAlignment="1" applyProtection="1">
      <alignment horizontal="center"/>
      <protection/>
    </xf>
    <xf numFmtId="183" fontId="0" fillId="34" borderId="67" xfId="0" applyNumberFormat="1" applyFont="1" applyFill="1" applyBorder="1" applyAlignment="1" applyProtection="1">
      <alignment horizontal="centerContinuous"/>
      <protection/>
    </xf>
    <xf numFmtId="0" fontId="0" fillId="34" borderId="67" xfId="0" applyFont="1" applyFill="1" applyBorder="1" applyAlignment="1" applyProtection="1">
      <alignment horizontal="centerContinuous"/>
      <protection/>
    </xf>
    <xf numFmtId="183" fontId="0" fillId="34" borderId="68" xfId="0" applyNumberFormat="1" applyFont="1" applyFill="1" applyBorder="1" applyAlignment="1" applyProtection="1">
      <alignment horizontal="center"/>
      <protection/>
    </xf>
    <xf numFmtId="183" fontId="0" fillId="34" borderId="31" xfId="0" applyNumberFormat="1" applyFont="1" applyFill="1" applyBorder="1" applyAlignment="1" applyProtection="1">
      <alignment horizontal="center"/>
      <protection/>
    </xf>
    <xf numFmtId="183" fontId="0" fillId="34" borderId="67" xfId="0" applyNumberFormat="1" applyFont="1" applyFill="1" applyBorder="1" applyAlignment="1" applyProtection="1">
      <alignment horizontal="center"/>
      <protection/>
    </xf>
    <xf numFmtId="183" fontId="1" fillId="34" borderId="69" xfId="0" applyNumberFormat="1" applyFont="1" applyFill="1" applyBorder="1" applyAlignment="1" applyProtection="1">
      <alignment horizontal="center"/>
      <protection/>
    </xf>
    <xf numFmtId="183" fontId="1" fillId="34" borderId="70" xfId="0" applyNumberFormat="1" applyFont="1" applyFill="1" applyBorder="1" applyAlignment="1" applyProtection="1">
      <alignment horizontal="centerContinuous"/>
      <protection/>
    </xf>
    <xf numFmtId="0" fontId="0" fillId="34" borderId="70" xfId="0" applyFill="1" applyBorder="1" applyAlignment="1" applyProtection="1">
      <alignment horizontal="centerContinuous"/>
      <protection/>
    </xf>
    <xf numFmtId="183" fontId="1" fillId="34" borderId="71" xfId="0" applyNumberFormat="1" applyFont="1" applyFill="1" applyBorder="1" applyAlignment="1" applyProtection="1">
      <alignment horizontal="center"/>
      <protection/>
    </xf>
    <xf numFmtId="183" fontId="1" fillId="34" borderId="72" xfId="0" applyNumberFormat="1" applyFont="1" applyFill="1" applyBorder="1" applyAlignment="1" applyProtection="1">
      <alignment horizontal="center"/>
      <protection/>
    </xf>
    <xf numFmtId="183" fontId="1" fillId="34" borderId="7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3" fontId="25" fillId="0" borderId="73" xfId="0" applyNumberFormat="1" applyFont="1" applyBorder="1" applyAlignment="1" applyProtection="1">
      <alignment horizontal="center" vertical="center"/>
      <protection locked="0"/>
    </xf>
    <xf numFmtId="3" fontId="7" fillId="34" borderId="3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188" fontId="0" fillId="0" borderId="0" xfId="47" applyNumberFormat="1" applyFont="1" applyAlignment="1" applyProtection="1">
      <alignment/>
      <protection/>
    </xf>
    <xf numFmtId="0" fontId="17" fillId="33" borderId="16" xfId="0" applyFont="1" applyFill="1" applyBorder="1" applyAlignment="1" applyProtection="1">
      <alignment horizontal="centerContinuous"/>
      <protection/>
    </xf>
    <xf numFmtId="0" fontId="7" fillId="33" borderId="17" xfId="0" applyFont="1" applyFill="1" applyBorder="1" applyAlignment="1" applyProtection="1">
      <alignment horizontal="centerContinuous"/>
      <protection/>
    </xf>
    <xf numFmtId="0" fontId="7" fillId="33" borderId="18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Fill="1" applyAlignment="1" applyProtection="1">
      <alignment horizontal="right"/>
      <protection/>
    </xf>
    <xf numFmtId="10" fontId="14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5" fontId="7" fillId="0" borderId="0" xfId="0" applyNumberFormat="1" applyFont="1" applyBorder="1" applyAlignment="1" applyProtection="1">
      <alignment horizontal="center"/>
      <protection/>
    </xf>
    <xf numFmtId="175" fontId="7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75" fontId="1" fillId="0" borderId="0" xfId="0" applyNumberFormat="1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0" fontId="1" fillId="0" borderId="0" xfId="0" applyNumberFormat="1" applyFont="1" applyFill="1" applyAlignment="1" applyProtection="1">
      <alignment horizontal="left"/>
      <protection/>
    </xf>
    <xf numFmtId="10" fontId="1" fillId="0" borderId="0" xfId="0" applyNumberFormat="1" applyFont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1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34" borderId="3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14" fillId="0" borderId="30" xfId="0" applyFont="1" applyBorder="1" applyAlignment="1" applyProtection="1">
      <alignment horizontal="right"/>
      <protection/>
    </xf>
    <xf numFmtId="0" fontId="14" fillId="0" borderId="30" xfId="0" applyFont="1" applyBorder="1" applyAlignment="1" applyProtection="1">
      <alignment/>
      <protection/>
    </xf>
    <xf numFmtId="0" fontId="14" fillId="0" borderId="3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7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right"/>
      <protection locked="0"/>
    </xf>
    <xf numFmtId="0" fontId="7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3" fontId="1" fillId="34" borderId="49" xfId="0" applyNumberFormat="1" applyFont="1" applyFill="1" applyBorder="1" applyAlignment="1" applyProtection="1">
      <alignment vertical="center" shrinkToFit="1"/>
      <protection/>
    </xf>
    <xf numFmtId="1" fontId="1" fillId="34" borderId="0" xfId="0" applyNumberFormat="1" applyFont="1" applyFill="1" applyAlignment="1" applyProtection="1">
      <alignment shrinkToFit="1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15" fillId="0" borderId="0" xfId="0" applyFont="1" applyAlignment="1">
      <alignment/>
    </xf>
    <xf numFmtId="0" fontId="8" fillId="35" borderId="0" xfId="0" applyFont="1" applyFill="1" applyAlignment="1">
      <alignment/>
    </xf>
    <xf numFmtId="0" fontId="8" fillId="35" borderId="0" xfId="0" applyFont="1" applyFill="1" applyAlignment="1" applyProtection="1">
      <alignment/>
      <protection locked="0"/>
    </xf>
    <xf numFmtId="10" fontId="8" fillId="34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 quotePrefix="1">
      <alignment horizontal="right"/>
      <protection locked="0"/>
    </xf>
    <xf numFmtId="0" fontId="13" fillId="0" borderId="0" xfId="0" applyFont="1" applyFill="1" applyBorder="1" applyAlignment="1" applyProtection="1">
      <alignment/>
      <protection/>
    </xf>
    <xf numFmtId="9" fontId="0" fillId="0" borderId="0" xfId="0" applyNumberFormat="1" applyFill="1" applyAlignment="1" applyProtection="1">
      <alignment/>
      <protection locked="0"/>
    </xf>
    <xf numFmtId="183" fontId="25" fillId="0" borderId="46" xfId="0" applyNumberFormat="1" applyFont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/>
      <protection locked="0"/>
    </xf>
    <xf numFmtId="0" fontId="2" fillId="0" borderId="74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9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0" fillId="36" borderId="0" xfId="0" applyFill="1" applyAlignment="1">
      <alignment/>
    </xf>
    <xf numFmtId="0" fontId="97" fillId="0" borderId="0" xfId="0" applyFont="1" applyAlignment="1">
      <alignment/>
    </xf>
    <xf numFmtId="0" fontId="8" fillId="0" borderId="0" xfId="0" applyFont="1" applyAlignment="1">
      <alignment horizontal="right"/>
    </xf>
    <xf numFmtId="192" fontId="8" fillId="35" borderId="0" xfId="0" applyNumberFormat="1" applyFont="1" applyFill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7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0" borderId="0" xfId="0" applyFill="1" applyAlignment="1">
      <alignment horizontal="right"/>
    </xf>
    <xf numFmtId="3" fontId="11" fillId="0" borderId="0" xfId="0" applyNumberFormat="1" applyFont="1" applyAlignment="1">
      <alignment/>
    </xf>
    <xf numFmtId="0" fontId="98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" fillId="37" borderId="0" xfId="0" applyNumberFormat="1" applyFont="1" applyFill="1" applyAlignment="1" applyProtection="1">
      <alignment horizontal="right"/>
      <protection locked="0"/>
    </xf>
    <xf numFmtId="0" fontId="0" fillId="37" borderId="0" xfId="0" applyFont="1" applyFill="1" applyAlignment="1" applyProtection="1">
      <alignment horizontal="left"/>
      <protection locked="0"/>
    </xf>
    <xf numFmtId="0" fontId="1" fillId="37" borderId="0" xfId="0" applyNumberFormat="1" applyFont="1" applyFill="1" applyAlignment="1" applyProtection="1">
      <alignment horizontal="right"/>
      <protection locked="0"/>
    </xf>
    <xf numFmtId="0" fontId="1" fillId="37" borderId="0" xfId="0" applyNumberFormat="1" applyFont="1" applyFill="1" applyBorder="1" applyAlignment="1" applyProtection="1">
      <alignment horizontal="right"/>
      <protection locked="0"/>
    </xf>
    <xf numFmtId="0" fontId="0" fillId="37" borderId="0" xfId="0" applyFont="1" applyFill="1" applyAlignment="1" applyProtection="1">
      <alignment/>
      <protection locked="0"/>
    </xf>
    <xf numFmtId="0" fontId="1" fillId="37" borderId="60" xfId="0" applyNumberFormat="1" applyFont="1" applyFill="1" applyBorder="1" applyAlignment="1" applyProtection="1">
      <alignment horizontal="center"/>
      <protection locked="0"/>
    </xf>
    <xf numFmtId="0" fontId="0" fillId="37" borderId="60" xfId="0" applyFont="1" applyFill="1" applyBorder="1" applyAlignment="1" applyProtection="1">
      <alignment horizontal="right"/>
      <protection locked="0"/>
    </xf>
    <xf numFmtId="0" fontId="0" fillId="37" borderId="0" xfId="0" applyFont="1" applyFill="1" applyAlignment="1">
      <alignment/>
    </xf>
    <xf numFmtId="0" fontId="99" fillId="0" borderId="0" xfId="0" applyFont="1" applyAlignment="1">
      <alignment horizontal="right"/>
    </xf>
    <xf numFmtId="0" fontId="16" fillId="33" borderId="16" xfId="0" applyFont="1" applyFill="1" applyBorder="1" applyAlignment="1">
      <alignment horizontal="centerContinuous"/>
    </xf>
    <xf numFmtId="0" fontId="0" fillId="38" borderId="0" xfId="0" applyFont="1" applyFill="1" applyAlignment="1" applyProtection="1">
      <alignment/>
      <protection locked="0"/>
    </xf>
    <xf numFmtId="1" fontId="0" fillId="38" borderId="0" xfId="0" applyNumberFormat="1" applyFont="1" applyFill="1" applyAlignment="1" applyProtection="1">
      <alignment/>
      <protection locked="0"/>
    </xf>
    <xf numFmtId="1" fontId="1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center"/>
      <protection/>
    </xf>
    <xf numFmtId="2" fontId="0" fillId="35" borderId="0" xfId="0" applyNumberFormat="1" applyFill="1" applyAlignment="1">
      <alignment/>
    </xf>
    <xf numFmtId="0" fontId="16" fillId="36" borderId="16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0" borderId="42" xfId="0" applyFont="1" applyFill="1" applyBorder="1" applyAlignment="1" applyProtection="1">
      <alignment horizontal="center" textRotation="90" wrapText="1"/>
      <protection locked="0"/>
    </xf>
    <xf numFmtId="0" fontId="17" fillId="0" borderId="59" xfId="0" applyFont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6" fillId="39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6" fillId="0" borderId="42" xfId="0" applyFont="1" applyFill="1" applyBorder="1" applyAlignment="1" applyProtection="1">
      <alignment horizontal="center" vertical="center" textRotation="90"/>
      <protection locked="0"/>
    </xf>
    <xf numFmtId="0" fontId="16" fillId="0" borderId="59" xfId="0" applyFont="1" applyFill="1" applyBorder="1" applyAlignment="1" applyProtection="1">
      <alignment horizontal="center" vertical="center" textRotation="90"/>
      <protection locked="0"/>
    </xf>
    <xf numFmtId="0" fontId="0" fillId="0" borderId="59" xfId="0" applyBorder="1" applyAlignment="1" applyProtection="1">
      <alignment horizontal="center" vertical="center" textRotation="90"/>
      <protection locked="0"/>
    </xf>
    <xf numFmtId="0" fontId="17" fillId="0" borderId="59" xfId="0" applyFont="1" applyBorder="1" applyAlignment="1" applyProtection="1">
      <alignment horizontal="center" textRotation="90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D?penses mensuelles</a:t>
            </a:r>
          </a:p>
        </c:rich>
      </c:tx>
      <c:layout>
        <c:manualLayout>
          <c:xMode val="factor"/>
          <c:yMode val="factor"/>
          <c:x val="-0.136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20475"/>
          <c:w val="0.40725"/>
          <c:h val="0.71375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99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66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63AAFE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'Budget mensuel'!$B$180:$B$200</c:f>
              <c:strCache/>
            </c:strRef>
          </c:cat>
          <c:val>
            <c:numRef>
              <c:f>'Budget mensuel'!$D$180:$D$200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cat>
            <c:strRef>
              <c:f>'Budget mensuel'!$B$180:$B$200</c:f>
              <c:strCache/>
            </c:strRef>
          </c:cat>
          <c:val>
            <c:numRef>
              <c:f>'Budget mensuel'!$D$180:$D$199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07675"/>
          <c:w val="0.26675"/>
          <c:h val="0.9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D?penses mensuelles</a:t>
            </a:r>
          </a:p>
        </c:rich>
      </c:tx>
      <c:layout>
        <c:manualLayout>
          <c:xMode val="factor"/>
          <c:yMode val="factor"/>
          <c:x val="-0.139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16675"/>
          <c:w val="0.42575"/>
          <c:h val="0.7985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33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63AAF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'Budget mensuel'!$B$126:$B$138</c:f>
              <c:strCache/>
            </c:strRef>
          </c:cat>
          <c:val>
            <c:numRef>
              <c:f>'Budget mensuel'!$D$126:$D$138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75"/>
          <c:y val="0.10375"/>
          <c:w val="0.29475"/>
          <c:h val="0.8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Co?t moyen des Energies</a:t>
            </a:r>
          </a:p>
        </c:rich>
      </c:tx>
      <c:layout>
        <c:manualLayout>
          <c:xMode val="factor"/>
          <c:yMode val="factor"/>
          <c:x val="-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975"/>
          <c:w val="0.713"/>
          <c:h val="0.699"/>
        </c:manualLayout>
      </c:layout>
      <c:barChart>
        <c:barDir val="bar"/>
        <c:grouping val="clustered"/>
        <c:varyColors val="0"/>
        <c:ser>
          <c:idx val="0"/>
          <c:order val="0"/>
          <c:tx>
            <c:v>P?trole po?le</c:v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'Coût énergies'!$B$21</c:f>
              <c:numCache/>
            </c:numRef>
          </c:val>
        </c:ser>
        <c:ser>
          <c:idx val="1"/>
          <c:order val="1"/>
          <c:tx>
            <c:v>Gaz Propane</c:v>
          </c:tx>
          <c:spPr>
            <a:solidFill>
              <a:srgbClr val="00ABE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'Coût énergies'!$B$20</c:f>
              <c:numCache/>
            </c:numRef>
          </c:val>
        </c:ser>
        <c:ser>
          <c:idx val="2"/>
          <c:order val="2"/>
          <c:tx>
            <c:v>Electricit?</c:v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'Coût énergies'!$B$19</c:f>
              <c:numCache/>
            </c:numRef>
          </c:val>
        </c:ser>
        <c:ser>
          <c:idx val="3"/>
          <c:order val="3"/>
          <c:tx>
            <c:v>Fioul</c:v>
          </c:tx>
          <c:spPr>
            <a:solidFill>
              <a:srgbClr val="4600A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'Coût énergies'!$B$18</c:f>
              <c:numCache/>
            </c:numRef>
          </c:val>
        </c:ser>
        <c:ser>
          <c:idx val="4"/>
          <c:order val="4"/>
          <c:tx>
            <c:v>Gaz r?seau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'Coût énergies'!$B$17</c:f>
              <c:numCache/>
            </c:numRef>
          </c:val>
        </c:ser>
        <c:ser>
          <c:idx val="5"/>
          <c:order val="5"/>
          <c:tx>
            <c:v>Bois granul? Sac</c:v>
          </c:tx>
          <c:spPr>
            <a:solidFill>
              <a:srgbClr val="FEA7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'Coût énergies'!$B$16</c:f>
              <c:numCache/>
            </c:numRef>
          </c:val>
        </c:ser>
        <c:ser>
          <c:idx val="6"/>
          <c:order val="6"/>
          <c:tx>
            <c:v>Bois granul? Vrac</c:v>
          </c:tx>
          <c:spPr>
            <a:solidFill>
              <a:srgbClr val="86535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'Coût énergies'!$B$15</c:f>
              <c:numCache/>
            </c:numRef>
          </c:val>
        </c:ser>
        <c:ser>
          <c:idx val="7"/>
          <c:order val="7"/>
          <c:tx>
            <c:v>PAC G?othermie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'Coût énergies'!$B$14</c:f>
              <c:numCache/>
            </c:numRef>
          </c:val>
        </c:ser>
        <c:ser>
          <c:idx val="8"/>
          <c:order val="8"/>
          <c:tx>
            <c:v>Bois b?ches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'Coût énergies'!$B$13</c:f>
              <c:numCache/>
            </c:numRef>
          </c:val>
        </c:ser>
        <c:ser>
          <c:idx val="9"/>
          <c:order val="9"/>
          <c:tx>
            <c:v>Bois d?chiquet?</c:v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'Coût énergies'!$B$12</c:f>
              <c:numCache/>
            </c:numRef>
          </c:val>
        </c:ser>
        <c:ser>
          <c:idx val="10"/>
          <c:order val="10"/>
          <c:tx>
            <c:v>Soleil</c:v>
          </c:tx>
          <c:spPr>
            <a:solidFill>
              <a:srgbClr val="FFF5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'Coût énergies'!$B$11</c:f>
              <c:numCache/>
            </c:numRef>
          </c:val>
        </c:ser>
        <c:axId val="3123539"/>
        <c:axId val="28111852"/>
      </c:barChart>
      <c:catAx>
        <c:axId val="3123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8111852"/>
        <c:crosses val="autoZero"/>
        <c:auto val="1"/>
        <c:lblOffset val="100"/>
        <c:tickLblSkip val="1"/>
        <c:noMultiLvlLbl val="0"/>
      </c:catAx>
      <c:valAx>
        <c:axId val="2811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c€ / kWh</a:t>
                </a:r>
              </a:p>
            </c:rich>
          </c:tx>
          <c:layout>
            <c:manualLayout>
              <c:xMode val="factor"/>
              <c:yMode val="factor"/>
              <c:x val="0.027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353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20625"/>
          <c:w val="0.20175"/>
          <c:h val="0.7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Facture ?nerg?tique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4"/>
          <c:w val="0.45975"/>
          <c:h val="0.79625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'Facture énergie'!$A$25:$A$28</c:f>
              <c:strCache/>
            </c:strRef>
          </c:cat>
          <c:val>
            <c:numRef>
              <c:f>'Facture énergie'!$C$25:$C$28</c:f>
              <c:numCache/>
            </c:numRef>
          </c:val>
        </c:ser>
        <c:ser>
          <c:idx val="1"/>
          <c:order val="1"/>
          <c:tx>
            <c:strRef>
              <c:f>'Facture énergie'!$A$26</c:f>
              <c:strCache>
                <c:ptCount val="1"/>
                <c:pt idx="0">
                  <c:v>Eau Chaude</c:v>
                </c:pt>
              </c:strCache>
            </c:strRef>
          </c:tx>
          <c:spPr>
            <a:solidFill>
              <a:srgbClr val="DD2D32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DD2D3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58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EE25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'Facture énergie'!$A$25:$A$28</c:f>
              <c:strCache/>
            </c:strRef>
          </c:cat>
          <c:val>
            <c:numRef>
              <c:f>'Facture énergie'!$B$26:$C$26</c:f>
              <c:numCache/>
            </c:numRef>
          </c:val>
        </c:ser>
        <c:ser>
          <c:idx val="2"/>
          <c:order val="2"/>
          <c:tx>
            <c:strRef>
              <c:f>'Facture énergie'!$A$27</c:f>
              <c:strCache>
                <c:ptCount val="1"/>
                <c:pt idx="0">
                  <c:v>Cuisson</c:v>
                </c:pt>
              </c:strCache>
            </c:strRef>
          </c:tx>
          <c:spPr>
            <a:solidFill>
              <a:srgbClr val="FFF58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DD2D3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58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EE25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'Facture énergie'!$A$25:$A$28</c:f>
              <c:strCache/>
            </c:strRef>
          </c:cat>
          <c:val>
            <c:numRef>
              <c:f>'Facture énergie'!$B$27:$C$27</c:f>
              <c:numCache/>
            </c:numRef>
          </c:val>
        </c:ser>
        <c:ser>
          <c:idx val="3"/>
          <c:order val="3"/>
          <c:tx>
            <c:strRef>
              <c:f>'Facture énergie'!$A$28</c:f>
              <c:strCache>
                <c:ptCount val="1"/>
                <c:pt idx="0">
                  <c:v>Electricit? sp?cifique</c:v>
                </c:pt>
              </c:strCache>
            </c:strRef>
          </c:tx>
          <c:spPr>
            <a:solidFill>
              <a:srgbClr val="4EE257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DD2D3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58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EE25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'Facture énergie'!$A$25:$A$28</c:f>
              <c:strCache/>
            </c:strRef>
          </c:cat>
          <c:val>
            <c:numRef>
              <c:f>'Facture énergie'!$B$28:$C$28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5"/>
          <c:y val="0.32725"/>
          <c:w val="0.253"/>
          <c:h val="0.4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wmf" /><Relationship Id="rId4" Type="http://schemas.openxmlformats.org/officeDocument/2006/relationships/image" Target="../media/image5.png" /><Relationship Id="rId5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4.wmf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5</xdr:col>
      <xdr:colOff>819150</xdr:colOff>
      <xdr:row>5</xdr:row>
      <xdr:rowOff>28575</xdr:rowOff>
    </xdr:to>
    <xdr:pic>
      <xdr:nvPicPr>
        <xdr:cNvPr id="1" name="Picture 2" descr="e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0"/>
          <a:ext cx="781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561975</xdr:colOff>
      <xdr:row>92</xdr:row>
      <xdr:rowOff>95250</xdr:rowOff>
    </xdr:from>
    <xdr:to>
      <xdr:col>5</xdr:col>
      <xdr:colOff>590550</xdr:colOff>
      <xdr:row>99</xdr:row>
      <xdr:rowOff>76200</xdr:rowOff>
    </xdr:to>
    <xdr:pic>
      <xdr:nvPicPr>
        <xdr:cNvPr id="2" name="Picture 5" descr="PIE_2011_new_logo 2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6068675"/>
          <a:ext cx="1400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93</xdr:row>
      <xdr:rowOff>9525</xdr:rowOff>
    </xdr:from>
    <xdr:to>
      <xdr:col>2</xdr:col>
      <xdr:colOff>466725</xdr:colOff>
      <xdr:row>98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l="6956" t="6611"/>
        <a:stretch>
          <a:fillRect/>
        </a:stretch>
      </xdr:blipFill>
      <xdr:spPr>
        <a:xfrm>
          <a:off x="1885950" y="16144875"/>
          <a:ext cx="866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93</xdr:row>
      <xdr:rowOff>95250</xdr:rowOff>
    </xdr:from>
    <xdr:to>
      <xdr:col>1</xdr:col>
      <xdr:colOff>495300</xdr:colOff>
      <xdr:row>98</xdr:row>
      <xdr:rowOff>38100</xdr:rowOff>
    </xdr:to>
    <xdr:pic>
      <xdr:nvPicPr>
        <xdr:cNvPr id="4" name="Picture 7" descr="LaDrom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16230600"/>
          <a:ext cx="1657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93</xdr:row>
      <xdr:rowOff>28575</xdr:rowOff>
    </xdr:from>
    <xdr:to>
      <xdr:col>3</xdr:col>
      <xdr:colOff>304800</xdr:colOff>
      <xdr:row>98</xdr:row>
      <xdr:rowOff>123825</xdr:rowOff>
    </xdr:to>
    <xdr:pic>
      <xdr:nvPicPr>
        <xdr:cNvPr id="5" name="rg_hi" descr="https://encrypted-tbn3.google.com/images?q=tbn:ANd9GcSJ5jx6Pa7f4Ttd491pb5wq_NzNXRl8jm88cTSTkuowxcBgBx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14650" y="16163925"/>
          <a:ext cx="914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43</xdr:row>
      <xdr:rowOff>38100</xdr:rowOff>
    </xdr:from>
    <xdr:to>
      <xdr:col>5</xdr:col>
      <xdr:colOff>828675</xdr:colOff>
      <xdr:row>49</xdr:row>
      <xdr:rowOff>133350</xdr:rowOff>
    </xdr:to>
    <xdr:pic>
      <xdr:nvPicPr>
        <xdr:cNvPr id="1" name="Picture 5" descr="PIE_2011_new_logo 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162925"/>
          <a:ext cx="12287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2</xdr:row>
      <xdr:rowOff>0</xdr:rowOff>
    </xdr:from>
    <xdr:to>
      <xdr:col>5</xdr:col>
      <xdr:colOff>590550</xdr:colOff>
      <xdr:row>7</xdr:row>
      <xdr:rowOff>76200</xdr:rowOff>
    </xdr:to>
    <xdr:pic>
      <xdr:nvPicPr>
        <xdr:cNvPr id="1" name="Picture 2" descr="e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695325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1362075</xdr:colOff>
      <xdr:row>20</xdr:row>
      <xdr:rowOff>28575</xdr:rowOff>
    </xdr:from>
    <xdr:to>
      <xdr:col>2</xdr:col>
      <xdr:colOff>1438275</xdr:colOff>
      <xdr:row>22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4181475" y="37719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352425</xdr:colOff>
      <xdr:row>207</xdr:row>
      <xdr:rowOff>85725</xdr:rowOff>
    </xdr:from>
    <xdr:to>
      <xdr:col>5</xdr:col>
      <xdr:colOff>495300</xdr:colOff>
      <xdr:row>225</xdr:row>
      <xdr:rowOff>190500</xdr:rowOff>
    </xdr:to>
    <xdr:graphicFrame>
      <xdr:nvGraphicFramePr>
        <xdr:cNvPr id="3" name="Graphique 9"/>
        <xdr:cNvGraphicFramePr/>
      </xdr:nvGraphicFramePr>
      <xdr:xfrm>
        <a:off x="352425" y="38223825"/>
        <a:ext cx="60579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144</xdr:row>
      <xdr:rowOff>133350</xdr:rowOff>
    </xdr:from>
    <xdr:to>
      <xdr:col>5</xdr:col>
      <xdr:colOff>723900</xdr:colOff>
      <xdr:row>168</xdr:row>
      <xdr:rowOff>66675</xdr:rowOff>
    </xdr:to>
    <xdr:graphicFrame>
      <xdr:nvGraphicFramePr>
        <xdr:cNvPr id="4" name="Graphique 9"/>
        <xdr:cNvGraphicFramePr/>
      </xdr:nvGraphicFramePr>
      <xdr:xfrm>
        <a:off x="0" y="26546175"/>
        <a:ext cx="663892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742950</xdr:colOff>
      <xdr:row>108</xdr:row>
      <xdr:rowOff>9525</xdr:rowOff>
    </xdr:from>
    <xdr:to>
      <xdr:col>4</xdr:col>
      <xdr:colOff>9525</xdr:colOff>
      <xdr:row>110</xdr:row>
      <xdr:rowOff>28575</xdr:rowOff>
    </xdr:to>
    <xdr:sp>
      <xdr:nvSpPr>
        <xdr:cNvPr id="5" name="AutoShape 3"/>
        <xdr:cNvSpPr>
          <a:spLocks/>
        </xdr:cNvSpPr>
      </xdr:nvSpPr>
      <xdr:spPr>
        <a:xfrm flipH="1">
          <a:off x="5010150" y="18745200"/>
          <a:ext cx="133350" cy="342900"/>
        </a:xfrm>
        <a:prstGeom prst="leftBrace">
          <a:avLst>
            <a:gd name="adj" fmla="val -2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771525</xdr:colOff>
      <xdr:row>111</xdr:row>
      <xdr:rowOff>9525</xdr:rowOff>
    </xdr:from>
    <xdr:to>
      <xdr:col>4</xdr:col>
      <xdr:colOff>19050</xdr:colOff>
      <xdr:row>113</xdr:row>
      <xdr:rowOff>9525</xdr:rowOff>
    </xdr:to>
    <xdr:sp>
      <xdr:nvSpPr>
        <xdr:cNvPr id="6" name="AutoShape 3"/>
        <xdr:cNvSpPr>
          <a:spLocks/>
        </xdr:cNvSpPr>
      </xdr:nvSpPr>
      <xdr:spPr>
        <a:xfrm flipH="1">
          <a:off x="5038725" y="19202400"/>
          <a:ext cx="114300" cy="323850"/>
        </a:xfrm>
        <a:prstGeom prst="leftBrace">
          <a:avLst>
            <a:gd name="adj" fmla="val -30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542925</xdr:colOff>
      <xdr:row>52</xdr:row>
      <xdr:rowOff>76200</xdr:rowOff>
    </xdr:from>
    <xdr:to>
      <xdr:col>5</xdr:col>
      <xdr:colOff>628650</xdr:colOff>
      <xdr:row>57</xdr:row>
      <xdr:rowOff>133350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4"/>
        <a:srcRect l="6956" t="6611"/>
        <a:stretch>
          <a:fillRect/>
        </a:stretch>
      </xdr:blipFill>
      <xdr:spPr>
        <a:xfrm>
          <a:off x="5676900" y="9363075"/>
          <a:ext cx="866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53</xdr:row>
      <xdr:rowOff>38100</xdr:rowOff>
    </xdr:from>
    <xdr:to>
      <xdr:col>1</xdr:col>
      <xdr:colOff>371475</xdr:colOff>
      <xdr:row>57</xdr:row>
      <xdr:rowOff>85725</xdr:rowOff>
    </xdr:to>
    <xdr:pic>
      <xdr:nvPicPr>
        <xdr:cNvPr id="8" name="Picture 7" descr="LaDrom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9515475"/>
          <a:ext cx="1666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52</xdr:row>
      <xdr:rowOff>28575</xdr:rowOff>
    </xdr:from>
    <xdr:to>
      <xdr:col>5</xdr:col>
      <xdr:colOff>247650</xdr:colOff>
      <xdr:row>65</xdr:row>
      <xdr:rowOff>95250</xdr:rowOff>
    </xdr:to>
    <xdr:grpSp>
      <xdr:nvGrpSpPr>
        <xdr:cNvPr id="1" name="Group 9"/>
        <xdr:cNvGrpSpPr>
          <a:grpSpLocks/>
        </xdr:cNvGrpSpPr>
      </xdr:nvGrpSpPr>
      <xdr:grpSpPr>
        <a:xfrm>
          <a:off x="695325" y="8972550"/>
          <a:ext cx="3819525" cy="2171700"/>
          <a:chOff x="295" y="2523"/>
          <a:chExt cx="2406" cy="1380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361" y="2805"/>
            <a:ext cx="2076" cy="984"/>
          </a:xfrm>
          <a:prstGeom prst="rect">
            <a:avLst/>
          </a:prstGeom>
          <a:solidFill>
            <a:srgbClr val="C8DFA9"/>
          </a:solidFill>
          <a:ln w="9525" cmpd="sng">
            <a:solidFill>
              <a:srgbClr val="C8DFA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AutoShape 11"/>
          <xdr:cNvSpPr>
            <a:spLocks noChangeAspect="1"/>
          </xdr:cNvSpPr>
        </xdr:nvSpPr>
        <xdr:spPr>
          <a:xfrm>
            <a:off x="295" y="2535"/>
            <a:ext cx="2406" cy="13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4" name="Rectangle 12"/>
          <xdr:cNvSpPr>
            <a:spLocks/>
          </xdr:cNvSpPr>
        </xdr:nvSpPr>
        <xdr:spPr>
          <a:xfrm>
            <a:off x="814" y="2523"/>
            <a:ext cx="1199" cy="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Immeuble non isolé</a:t>
            </a:r>
            <a:r>
              <a:rPr lang="en-US" cap="none" sz="1600" b="0" i="0" u="none" baseline="0">
                <a:solidFill>
                  <a:srgbClr val="003300"/>
                </a:solidFill>
              </a:rPr>
              <a:t>
</a:t>
            </a:r>
          </a:p>
        </xdr:txBody>
      </xdr:sp>
      <xdr:sp>
        <xdr:nvSpPr>
          <xdr:cNvPr id="5" name="Freeform 13"/>
          <xdr:cNvSpPr>
            <a:spLocks/>
          </xdr:cNvSpPr>
        </xdr:nvSpPr>
        <xdr:spPr>
          <a:xfrm>
            <a:off x="307" y="2698"/>
            <a:ext cx="2178" cy="1085"/>
          </a:xfrm>
          <a:custGeom>
            <a:pathLst>
              <a:path h="978" w="2070">
                <a:moveTo>
                  <a:pt x="0" y="0"/>
                </a:moveTo>
                <a:lnTo>
                  <a:pt x="2070" y="0"/>
                </a:lnTo>
                <a:lnTo>
                  <a:pt x="2070" y="978"/>
                </a:lnTo>
                <a:lnTo>
                  <a:pt x="0" y="978"/>
                </a:lnTo>
                <a:lnTo>
                  <a:pt x="0" y="0"/>
                </a:lnTo>
                <a:close/>
              </a:path>
            </a:pathLst>
          </a:custGeom>
          <a:solidFill>
            <a:srgbClr val="C8DFA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" name="Rectangle 14"/>
          <xdr:cNvSpPr>
            <a:spLocks/>
          </xdr:cNvSpPr>
        </xdr:nvSpPr>
        <xdr:spPr>
          <a:xfrm>
            <a:off x="421" y="2838"/>
            <a:ext cx="2027" cy="173"/>
          </a:xfrm>
          <a:prstGeom prst="rect">
            <a:avLst/>
          </a:prstGeom>
          <a:solidFill>
            <a:srgbClr val="C8DFA9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>
                <a:solidFill>
                  <a:srgbClr val="3366FF"/>
                </a:solidFill>
              </a:rPr>
              <a:t>341 kWh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   295 kWh       </a:t>
            </a:r>
            <a:r>
              <a:rPr lang="en-US" cap="none" sz="1800" b="0" i="0" u="none" baseline="0">
                <a:solidFill>
                  <a:srgbClr val="3366FF"/>
                </a:solidFill>
              </a:rPr>
              <a:t>341kWh</a:t>
            </a:r>
            <a:r>
              <a:rPr lang="en-US" cap="none" sz="1800" b="0" i="0" u="none" baseline="0">
                <a:solidFill>
                  <a:srgbClr val="3366FF"/>
                </a:solidFill>
              </a:rPr>
              <a:t>
</a:t>
            </a:r>
          </a:p>
        </xdr:txBody>
      </xdr:sp>
      <xdr:sp>
        <xdr:nvSpPr>
          <xdr:cNvPr id="7" name="Rectangle 15"/>
          <xdr:cNvSpPr>
            <a:spLocks/>
          </xdr:cNvSpPr>
        </xdr:nvSpPr>
        <xdr:spPr>
          <a:xfrm>
            <a:off x="421" y="3170"/>
            <a:ext cx="561" cy="1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161 kWh</a:t>
            </a:r>
            <a:r>
              <a:rPr lang="en-US" cap="none" sz="1800" b="0" i="0" u="none" baseline="0">
                <a:solidFill>
                  <a:srgbClr val="003300"/>
                </a:solidFill>
              </a:rPr>
              <a:t>
</a:t>
            </a:r>
          </a:p>
        </xdr:txBody>
      </xdr:sp>
      <xdr:sp>
        <xdr:nvSpPr>
          <xdr:cNvPr id="8" name="Rectangle 16"/>
          <xdr:cNvSpPr>
            <a:spLocks/>
          </xdr:cNvSpPr>
        </xdr:nvSpPr>
        <xdr:spPr>
          <a:xfrm>
            <a:off x="1088" y="3162"/>
            <a:ext cx="596" cy="1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FF9900"/>
                </a:solidFill>
              </a:rPr>
              <a:t>130 kWh</a:t>
            </a:r>
            <a:r>
              <a:rPr lang="en-US" cap="none" sz="1800" b="0" i="0" u="none" baseline="0">
                <a:solidFill>
                  <a:srgbClr val="FF9900"/>
                </a:solidFill>
              </a:rPr>
              <a:t>
</a:t>
            </a:r>
          </a:p>
        </xdr:txBody>
      </xdr:sp>
      <xdr:sp>
        <xdr:nvSpPr>
          <xdr:cNvPr id="9" name="Rectangle 17"/>
          <xdr:cNvSpPr>
            <a:spLocks/>
          </xdr:cNvSpPr>
        </xdr:nvSpPr>
        <xdr:spPr>
          <a:xfrm>
            <a:off x="1635" y="3170"/>
            <a:ext cx="737" cy="1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     161 kWh</a:t>
            </a:r>
            <a:r>
              <a:rPr lang="en-US" cap="none" sz="1800" b="0" i="0" u="none" baseline="0">
                <a:solidFill>
                  <a:srgbClr val="003300"/>
                </a:solidFill>
              </a:rPr>
              <a:t>
</a:t>
            </a:r>
          </a:p>
        </xdr:txBody>
      </xdr:sp>
      <xdr:sp>
        <xdr:nvSpPr>
          <xdr:cNvPr id="10" name="Rectangle 18"/>
          <xdr:cNvSpPr>
            <a:spLocks/>
          </xdr:cNvSpPr>
        </xdr:nvSpPr>
        <xdr:spPr>
          <a:xfrm>
            <a:off x="421" y="3485"/>
            <a:ext cx="1971" cy="1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272 kWh     242 kWh     272 kWh</a:t>
            </a:r>
            <a:r>
              <a:rPr lang="en-US" cap="none" sz="1800" b="0" i="0" u="none" baseline="0">
                <a:solidFill>
                  <a:srgbClr val="003300"/>
                </a:solidFill>
              </a:rPr>
              <a:t>
</a:t>
            </a:r>
          </a:p>
        </xdr:txBody>
      </xdr:sp>
      <xdr:sp>
        <xdr:nvSpPr>
          <xdr:cNvPr id="11" name="Freeform 19"/>
          <xdr:cNvSpPr>
            <a:spLocks/>
          </xdr:cNvSpPr>
        </xdr:nvSpPr>
        <xdr:spPr>
          <a:xfrm>
            <a:off x="307" y="3777"/>
            <a:ext cx="1092" cy="18"/>
          </a:xfrm>
          <a:custGeom>
            <a:pathLst>
              <a:path h="18" w="1092">
                <a:moveTo>
                  <a:pt x="1092" y="18"/>
                </a:moveTo>
                <a:lnTo>
                  <a:pt x="0" y="18"/>
                </a:lnTo>
                <a:lnTo>
                  <a:pt x="0" y="6"/>
                </a:lnTo>
                <a:lnTo>
                  <a:pt x="0" y="0"/>
                </a:lnTo>
                <a:lnTo>
                  <a:pt x="1092" y="0"/>
                </a:lnTo>
                <a:lnTo>
                  <a:pt x="1092" y="6"/>
                </a:lnTo>
                <a:lnTo>
                  <a:pt x="1092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2" name="Rectangle 20"/>
          <xdr:cNvSpPr>
            <a:spLocks/>
          </xdr:cNvSpPr>
        </xdr:nvSpPr>
        <xdr:spPr>
          <a:xfrm>
            <a:off x="295" y="3783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3" name="Freeform 21"/>
          <xdr:cNvSpPr>
            <a:spLocks/>
          </xdr:cNvSpPr>
        </xdr:nvSpPr>
        <xdr:spPr>
          <a:xfrm>
            <a:off x="295" y="2691"/>
            <a:ext cx="18" cy="1092"/>
          </a:xfrm>
          <a:custGeom>
            <a:pathLst>
              <a:path h="1092" w="18">
                <a:moveTo>
                  <a:pt x="0" y="1092"/>
                </a:moveTo>
                <a:lnTo>
                  <a:pt x="0" y="0"/>
                </a:lnTo>
                <a:lnTo>
                  <a:pt x="12" y="0"/>
                </a:lnTo>
                <a:lnTo>
                  <a:pt x="18" y="0"/>
                </a:lnTo>
                <a:lnTo>
                  <a:pt x="18" y="1092"/>
                </a:lnTo>
                <a:lnTo>
                  <a:pt x="12" y="1092"/>
                </a:lnTo>
                <a:lnTo>
                  <a:pt x="0" y="109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4" name="Rectangle 22"/>
          <xdr:cNvSpPr>
            <a:spLocks/>
          </xdr:cNvSpPr>
        </xdr:nvSpPr>
        <xdr:spPr>
          <a:xfrm>
            <a:off x="295" y="2679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5" name="Freeform 23"/>
          <xdr:cNvSpPr>
            <a:spLocks/>
          </xdr:cNvSpPr>
        </xdr:nvSpPr>
        <xdr:spPr>
          <a:xfrm>
            <a:off x="307" y="2679"/>
            <a:ext cx="2190" cy="18"/>
          </a:xfrm>
          <a:custGeom>
            <a:pathLst>
              <a:path h="18" w="2190">
                <a:moveTo>
                  <a:pt x="0" y="0"/>
                </a:moveTo>
                <a:lnTo>
                  <a:pt x="2190" y="0"/>
                </a:lnTo>
                <a:lnTo>
                  <a:pt x="2190" y="12"/>
                </a:lnTo>
                <a:lnTo>
                  <a:pt x="2190" y="18"/>
                </a:lnTo>
                <a:lnTo>
                  <a:pt x="0" y="18"/>
                </a:lnTo>
                <a:lnTo>
                  <a:pt x="0" y="1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6" name="Rectangle 24"/>
          <xdr:cNvSpPr>
            <a:spLocks/>
          </xdr:cNvSpPr>
        </xdr:nvSpPr>
        <xdr:spPr>
          <a:xfrm>
            <a:off x="2497" y="2679"/>
            <a:ext cx="6" cy="1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7" name="Freeform 25"/>
          <xdr:cNvSpPr>
            <a:spLocks/>
          </xdr:cNvSpPr>
        </xdr:nvSpPr>
        <xdr:spPr>
          <a:xfrm>
            <a:off x="2485" y="2691"/>
            <a:ext cx="18" cy="1092"/>
          </a:xfrm>
          <a:custGeom>
            <a:pathLst>
              <a:path h="1092" w="18">
                <a:moveTo>
                  <a:pt x="18" y="0"/>
                </a:moveTo>
                <a:lnTo>
                  <a:pt x="18" y="1092"/>
                </a:lnTo>
                <a:lnTo>
                  <a:pt x="12" y="1092"/>
                </a:lnTo>
                <a:lnTo>
                  <a:pt x="0" y="1092"/>
                </a:lnTo>
                <a:lnTo>
                  <a:pt x="0" y="0"/>
                </a:lnTo>
                <a:lnTo>
                  <a:pt x="12" y="0"/>
                </a:lnTo>
                <a:lnTo>
                  <a:pt x="1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8" name="Rectangle 26"/>
          <xdr:cNvSpPr>
            <a:spLocks/>
          </xdr:cNvSpPr>
        </xdr:nvSpPr>
        <xdr:spPr>
          <a:xfrm>
            <a:off x="2497" y="3783"/>
            <a:ext cx="6" cy="1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9" name="Freeform 27"/>
          <xdr:cNvSpPr>
            <a:spLocks/>
          </xdr:cNvSpPr>
        </xdr:nvSpPr>
        <xdr:spPr>
          <a:xfrm>
            <a:off x="1399" y="3777"/>
            <a:ext cx="1098" cy="18"/>
          </a:xfrm>
          <a:custGeom>
            <a:pathLst>
              <a:path h="18" w="1098">
                <a:moveTo>
                  <a:pt x="1098" y="18"/>
                </a:moveTo>
                <a:lnTo>
                  <a:pt x="0" y="18"/>
                </a:lnTo>
                <a:lnTo>
                  <a:pt x="0" y="6"/>
                </a:lnTo>
                <a:lnTo>
                  <a:pt x="0" y="0"/>
                </a:lnTo>
                <a:lnTo>
                  <a:pt x="1098" y="0"/>
                </a:lnTo>
                <a:lnTo>
                  <a:pt x="1098" y="6"/>
                </a:lnTo>
                <a:lnTo>
                  <a:pt x="1098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0" name="Freeform 28"/>
          <xdr:cNvSpPr>
            <a:spLocks/>
          </xdr:cNvSpPr>
        </xdr:nvSpPr>
        <xdr:spPr>
          <a:xfrm>
            <a:off x="1027" y="2691"/>
            <a:ext cx="18" cy="1098"/>
          </a:xfrm>
          <a:custGeom>
            <a:pathLst>
              <a:path h="1098" w="18">
                <a:moveTo>
                  <a:pt x="18" y="0"/>
                </a:moveTo>
                <a:lnTo>
                  <a:pt x="18" y="1098"/>
                </a:lnTo>
                <a:lnTo>
                  <a:pt x="6" y="1098"/>
                </a:lnTo>
                <a:lnTo>
                  <a:pt x="0" y="1098"/>
                </a:lnTo>
                <a:lnTo>
                  <a:pt x="0" y="0"/>
                </a:lnTo>
                <a:lnTo>
                  <a:pt x="6" y="0"/>
                </a:lnTo>
                <a:lnTo>
                  <a:pt x="1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1" name="Freeform 29"/>
          <xdr:cNvSpPr>
            <a:spLocks/>
          </xdr:cNvSpPr>
        </xdr:nvSpPr>
        <xdr:spPr>
          <a:xfrm>
            <a:off x="1759" y="2691"/>
            <a:ext cx="18" cy="1098"/>
          </a:xfrm>
          <a:custGeom>
            <a:pathLst>
              <a:path h="1098" w="18">
                <a:moveTo>
                  <a:pt x="18" y="0"/>
                </a:moveTo>
                <a:lnTo>
                  <a:pt x="18" y="1098"/>
                </a:lnTo>
                <a:lnTo>
                  <a:pt x="6" y="1098"/>
                </a:lnTo>
                <a:lnTo>
                  <a:pt x="0" y="1098"/>
                </a:lnTo>
                <a:lnTo>
                  <a:pt x="0" y="0"/>
                </a:lnTo>
                <a:lnTo>
                  <a:pt x="6" y="0"/>
                </a:lnTo>
                <a:lnTo>
                  <a:pt x="1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2" name="Freeform 30"/>
          <xdr:cNvSpPr>
            <a:spLocks/>
          </xdr:cNvSpPr>
        </xdr:nvSpPr>
        <xdr:spPr>
          <a:xfrm>
            <a:off x="2485" y="2811"/>
            <a:ext cx="18" cy="1092"/>
          </a:xfrm>
          <a:custGeom>
            <a:pathLst>
              <a:path h="1092" w="18">
                <a:moveTo>
                  <a:pt x="18" y="0"/>
                </a:moveTo>
                <a:lnTo>
                  <a:pt x="18" y="1092"/>
                </a:lnTo>
                <a:lnTo>
                  <a:pt x="12" y="1092"/>
                </a:lnTo>
                <a:lnTo>
                  <a:pt x="6" y="1092"/>
                </a:lnTo>
                <a:lnTo>
                  <a:pt x="0" y="0"/>
                </a:lnTo>
                <a:lnTo>
                  <a:pt x="12" y="0"/>
                </a:lnTo>
                <a:lnTo>
                  <a:pt x="1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3" name="Freeform 31"/>
          <xdr:cNvSpPr>
            <a:spLocks/>
          </xdr:cNvSpPr>
        </xdr:nvSpPr>
        <xdr:spPr>
          <a:xfrm>
            <a:off x="295" y="2811"/>
            <a:ext cx="18" cy="1092"/>
          </a:xfrm>
          <a:custGeom>
            <a:pathLst>
              <a:path h="1092" w="18">
                <a:moveTo>
                  <a:pt x="18" y="0"/>
                </a:moveTo>
                <a:lnTo>
                  <a:pt x="18" y="1092"/>
                </a:lnTo>
                <a:lnTo>
                  <a:pt x="12" y="1092"/>
                </a:lnTo>
                <a:lnTo>
                  <a:pt x="0" y="1092"/>
                </a:lnTo>
                <a:lnTo>
                  <a:pt x="0" y="0"/>
                </a:lnTo>
                <a:lnTo>
                  <a:pt x="12" y="0"/>
                </a:lnTo>
                <a:lnTo>
                  <a:pt x="1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4" name="Freeform 32"/>
          <xdr:cNvSpPr>
            <a:spLocks/>
          </xdr:cNvSpPr>
        </xdr:nvSpPr>
        <xdr:spPr>
          <a:xfrm>
            <a:off x="307" y="3045"/>
            <a:ext cx="2190" cy="24"/>
          </a:xfrm>
          <a:custGeom>
            <a:pathLst>
              <a:path h="24" w="2190">
                <a:moveTo>
                  <a:pt x="0" y="0"/>
                </a:moveTo>
                <a:lnTo>
                  <a:pt x="2190" y="6"/>
                </a:lnTo>
                <a:lnTo>
                  <a:pt x="2190" y="12"/>
                </a:lnTo>
                <a:lnTo>
                  <a:pt x="2190" y="24"/>
                </a:lnTo>
                <a:lnTo>
                  <a:pt x="0" y="18"/>
                </a:lnTo>
                <a:lnTo>
                  <a:pt x="0" y="1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5" name="Freeform 33"/>
          <xdr:cNvSpPr>
            <a:spLocks/>
          </xdr:cNvSpPr>
        </xdr:nvSpPr>
        <xdr:spPr>
          <a:xfrm>
            <a:off x="307" y="3411"/>
            <a:ext cx="2190" cy="18"/>
          </a:xfrm>
          <a:custGeom>
            <a:pathLst>
              <a:path h="18" w="2190">
                <a:moveTo>
                  <a:pt x="0" y="0"/>
                </a:moveTo>
                <a:lnTo>
                  <a:pt x="2190" y="0"/>
                </a:lnTo>
                <a:lnTo>
                  <a:pt x="2190" y="12"/>
                </a:lnTo>
                <a:lnTo>
                  <a:pt x="2190" y="18"/>
                </a:lnTo>
                <a:lnTo>
                  <a:pt x="0" y="18"/>
                </a:lnTo>
                <a:lnTo>
                  <a:pt x="0" y="1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6" name="Freeform 34"/>
          <xdr:cNvSpPr>
            <a:spLocks/>
          </xdr:cNvSpPr>
        </xdr:nvSpPr>
        <xdr:spPr>
          <a:xfrm>
            <a:off x="301" y="2535"/>
            <a:ext cx="312" cy="168"/>
          </a:xfrm>
          <a:custGeom>
            <a:pathLst>
              <a:path h="168" w="312">
                <a:moveTo>
                  <a:pt x="0" y="162"/>
                </a:moveTo>
                <a:lnTo>
                  <a:pt x="306" y="0"/>
                </a:lnTo>
                <a:lnTo>
                  <a:pt x="312" y="6"/>
                </a:lnTo>
                <a:lnTo>
                  <a:pt x="6" y="168"/>
                </a:lnTo>
                <a:lnTo>
                  <a:pt x="6" y="162"/>
                </a:lnTo>
                <a:lnTo>
                  <a:pt x="0" y="16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7" name="Freeform 35"/>
          <xdr:cNvSpPr>
            <a:spLocks/>
          </xdr:cNvSpPr>
        </xdr:nvSpPr>
        <xdr:spPr>
          <a:xfrm>
            <a:off x="2491" y="2535"/>
            <a:ext cx="210" cy="168"/>
          </a:xfrm>
          <a:custGeom>
            <a:pathLst>
              <a:path h="168" w="210">
                <a:moveTo>
                  <a:pt x="0" y="162"/>
                </a:moveTo>
                <a:lnTo>
                  <a:pt x="204" y="0"/>
                </a:lnTo>
                <a:lnTo>
                  <a:pt x="210" y="6"/>
                </a:lnTo>
                <a:lnTo>
                  <a:pt x="6" y="168"/>
                </a:lnTo>
                <a:lnTo>
                  <a:pt x="6" y="162"/>
                </a:lnTo>
                <a:lnTo>
                  <a:pt x="0" y="16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8" name="Freeform 36"/>
          <xdr:cNvSpPr>
            <a:spLocks/>
          </xdr:cNvSpPr>
        </xdr:nvSpPr>
        <xdr:spPr>
          <a:xfrm>
            <a:off x="613" y="2541"/>
            <a:ext cx="2088" cy="12"/>
          </a:xfrm>
          <a:custGeom>
            <a:pathLst>
              <a:path h="12" w="2088">
                <a:moveTo>
                  <a:pt x="0" y="0"/>
                </a:moveTo>
                <a:lnTo>
                  <a:pt x="2088" y="6"/>
                </a:lnTo>
                <a:lnTo>
                  <a:pt x="2088" y="12"/>
                </a:lnTo>
                <a:lnTo>
                  <a:pt x="0" y="12"/>
                </a:lnTo>
                <a:lnTo>
                  <a:pt x="0" y="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9" name="Freeform 37"/>
          <xdr:cNvSpPr>
            <a:spLocks/>
          </xdr:cNvSpPr>
        </xdr:nvSpPr>
        <xdr:spPr>
          <a:xfrm>
            <a:off x="2491" y="3687"/>
            <a:ext cx="210" cy="216"/>
          </a:xfrm>
          <a:custGeom>
            <a:pathLst>
              <a:path h="216" w="210">
                <a:moveTo>
                  <a:pt x="0" y="210"/>
                </a:moveTo>
                <a:lnTo>
                  <a:pt x="204" y="0"/>
                </a:lnTo>
                <a:lnTo>
                  <a:pt x="210" y="6"/>
                </a:lnTo>
                <a:lnTo>
                  <a:pt x="6" y="216"/>
                </a:lnTo>
                <a:lnTo>
                  <a:pt x="6" y="210"/>
                </a:lnTo>
                <a:lnTo>
                  <a:pt x="0" y="2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0" name="Freeform 38"/>
          <xdr:cNvSpPr>
            <a:spLocks/>
          </xdr:cNvSpPr>
        </xdr:nvSpPr>
        <xdr:spPr>
          <a:xfrm>
            <a:off x="2695" y="2541"/>
            <a:ext cx="6" cy="1164"/>
          </a:xfrm>
          <a:custGeom>
            <a:pathLst>
              <a:path h="1164" w="6">
                <a:moveTo>
                  <a:pt x="0" y="1164"/>
                </a:moveTo>
                <a:lnTo>
                  <a:pt x="0" y="0"/>
                </a:lnTo>
                <a:lnTo>
                  <a:pt x="6" y="0"/>
                </a:lnTo>
                <a:lnTo>
                  <a:pt x="6" y="1164"/>
                </a:lnTo>
                <a:lnTo>
                  <a:pt x="0" y="116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0</xdr:col>
      <xdr:colOff>523875</xdr:colOff>
      <xdr:row>67</xdr:row>
      <xdr:rowOff>123825</xdr:rowOff>
    </xdr:from>
    <xdr:to>
      <xdr:col>5</xdr:col>
      <xdr:colOff>219075</xdr:colOff>
      <xdr:row>82</xdr:row>
      <xdr:rowOff>66675</xdr:rowOff>
    </xdr:to>
    <xdr:grpSp>
      <xdr:nvGrpSpPr>
        <xdr:cNvPr id="31" name="Group 39"/>
        <xdr:cNvGrpSpPr>
          <a:grpSpLocks noChangeAspect="1"/>
        </xdr:cNvGrpSpPr>
      </xdr:nvGrpSpPr>
      <xdr:grpSpPr>
        <a:xfrm>
          <a:off x="523875" y="11496675"/>
          <a:ext cx="3962400" cy="2371725"/>
          <a:chOff x="3016" y="2381"/>
          <a:chExt cx="2496" cy="1489"/>
        </a:xfrm>
        <a:solidFill>
          <a:srgbClr val="FFFFFF"/>
        </a:solidFill>
      </xdr:grpSpPr>
      <xdr:sp>
        <xdr:nvSpPr>
          <xdr:cNvPr id="32" name="AutoShape 40"/>
          <xdr:cNvSpPr>
            <a:spLocks noChangeAspect="1"/>
          </xdr:cNvSpPr>
        </xdr:nvSpPr>
        <xdr:spPr>
          <a:xfrm>
            <a:off x="3016" y="2387"/>
            <a:ext cx="2496" cy="14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3" name="Rectangle 41"/>
          <xdr:cNvSpPr>
            <a:spLocks/>
          </xdr:cNvSpPr>
        </xdr:nvSpPr>
        <xdr:spPr>
          <a:xfrm>
            <a:off x="3577" y="2381"/>
            <a:ext cx="925" cy="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Immeuble isolé</a:t>
            </a:r>
            <a:r>
              <a:rPr lang="en-US" cap="none" sz="1600" b="0" i="0" u="none" baseline="0">
                <a:solidFill>
                  <a:srgbClr val="003300"/>
                </a:solidFill>
              </a:rPr>
              <a:t>
</a:t>
            </a:r>
          </a:p>
        </xdr:txBody>
      </xdr:sp>
      <xdr:sp>
        <xdr:nvSpPr>
          <xdr:cNvPr id="34" name="Rectangle 42"/>
          <xdr:cNvSpPr>
            <a:spLocks/>
          </xdr:cNvSpPr>
        </xdr:nvSpPr>
        <xdr:spPr>
          <a:xfrm>
            <a:off x="3022" y="3755"/>
            <a:ext cx="1473" cy="1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5" name="Rectangle 43"/>
          <xdr:cNvSpPr>
            <a:spLocks/>
          </xdr:cNvSpPr>
        </xdr:nvSpPr>
        <xdr:spPr>
          <a:xfrm>
            <a:off x="4495" y="3752"/>
            <a:ext cx="28" cy="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1" u="none" baseline="0">
                <a:solidFill>
                  <a:srgbClr val="000000"/>
                </a:solidFill>
              </a:rPr>
              <a:t>2</a:t>
            </a:r>
            <a:r>
              <a:rPr lang="en-US" cap="none" sz="1800" b="0" i="0" u="none" baseline="0">
                <a:solidFill>
                  <a:srgbClr val="003300"/>
                </a:solidFill>
              </a:rPr>
              <a:t>
</a:t>
            </a:r>
          </a:p>
        </xdr:txBody>
      </xdr:sp>
      <xdr:sp>
        <xdr:nvSpPr>
          <xdr:cNvPr id="36" name="Rectangle 44"/>
          <xdr:cNvSpPr>
            <a:spLocks/>
          </xdr:cNvSpPr>
        </xdr:nvSpPr>
        <xdr:spPr>
          <a:xfrm>
            <a:off x="4530" y="3752"/>
            <a:ext cx="876" cy="1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>
                <a:solidFill>
                  <a:srgbClr val="003300"/>
                </a:solidFill>
              </a:rPr>
              <a:t/>
            </a:r>
          </a:p>
        </xdr:txBody>
      </xdr:sp>
      <xdr:sp>
        <xdr:nvSpPr>
          <xdr:cNvPr id="37" name="Freeform 45"/>
          <xdr:cNvSpPr>
            <a:spLocks/>
          </xdr:cNvSpPr>
        </xdr:nvSpPr>
        <xdr:spPr>
          <a:xfrm>
            <a:off x="3178" y="2657"/>
            <a:ext cx="2076" cy="978"/>
          </a:xfrm>
          <a:custGeom>
            <a:pathLst>
              <a:path h="978" w="2076">
                <a:moveTo>
                  <a:pt x="0" y="0"/>
                </a:moveTo>
                <a:lnTo>
                  <a:pt x="2076" y="0"/>
                </a:lnTo>
                <a:lnTo>
                  <a:pt x="2076" y="978"/>
                </a:lnTo>
                <a:lnTo>
                  <a:pt x="0" y="978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8" name="Rectangle 46"/>
          <xdr:cNvSpPr>
            <a:spLocks/>
          </xdr:cNvSpPr>
        </xdr:nvSpPr>
        <xdr:spPr>
          <a:xfrm>
            <a:off x="3100" y="2555"/>
            <a:ext cx="2208" cy="1086"/>
          </a:xfrm>
          <a:prstGeom prst="rect">
            <a:avLst/>
          </a:prstGeom>
          <a:solidFill>
            <a:srgbClr val="C8DFA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9" name="Rectangle 47"/>
          <xdr:cNvSpPr>
            <a:spLocks/>
          </xdr:cNvSpPr>
        </xdr:nvSpPr>
        <xdr:spPr>
          <a:xfrm>
            <a:off x="3233" y="2687"/>
            <a:ext cx="540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79 kWh</a:t>
            </a:r>
            <a:r>
              <a:rPr lang="en-US" cap="none" sz="1800" b="0" i="0" u="none" baseline="0">
                <a:solidFill>
                  <a:srgbClr val="003300"/>
                </a:solidFill>
              </a:rPr>
              <a:t>
</a:t>
            </a:r>
          </a:p>
        </xdr:txBody>
      </xdr:sp>
      <xdr:sp>
        <xdr:nvSpPr>
          <xdr:cNvPr id="40" name="Rectangle 48"/>
          <xdr:cNvSpPr>
            <a:spLocks/>
          </xdr:cNvSpPr>
        </xdr:nvSpPr>
        <xdr:spPr>
          <a:xfrm>
            <a:off x="3892" y="2687"/>
            <a:ext cx="575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 70 kWh</a:t>
            </a:r>
            <a:r>
              <a:rPr lang="en-US" cap="none" sz="1800" b="0" i="0" u="none" baseline="0">
                <a:solidFill>
                  <a:srgbClr val="003300"/>
                </a:solidFill>
              </a:rPr>
              <a:t>
</a:t>
            </a:r>
          </a:p>
        </xdr:txBody>
      </xdr:sp>
      <xdr:sp>
        <xdr:nvSpPr>
          <xdr:cNvPr id="41" name="Rectangle 49"/>
          <xdr:cNvSpPr>
            <a:spLocks/>
          </xdr:cNvSpPr>
        </xdr:nvSpPr>
        <xdr:spPr>
          <a:xfrm>
            <a:off x="4446" y="2687"/>
            <a:ext cx="736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     79 kWh</a:t>
            </a:r>
            <a:r>
              <a:rPr lang="en-US" cap="none" sz="1800" b="0" i="0" u="none" baseline="0">
                <a:solidFill>
                  <a:srgbClr val="003300"/>
                </a:solidFill>
              </a:rPr>
              <a:t>
</a:t>
            </a:r>
          </a:p>
        </xdr:txBody>
      </xdr:sp>
      <xdr:sp>
        <xdr:nvSpPr>
          <xdr:cNvPr id="42" name="Rectangle 50"/>
          <xdr:cNvSpPr>
            <a:spLocks/>
          </xdr:cNvSpPr>
        </xdr:nvSpPr>
        <xdr:spPr>
          <a:xfrm>
            <a:off x="3233" y="3031"/>
            <a:ext cx="540" cy="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69 kWh</a:t>
            </a:r>
            <a:r>
              <a:rPr lang="en-US" cap="none" sz="1800" b="0" i="0" u="none" baseline="0">
                <a:solidFill>
                  <a:srgbClr val="003300"/>
                </a:solidFill>
              </a:rPr>
              <a:t>
</a:t>
            </a:r>
          </a:p>
        </xdr:txBody>
      </xdr:sp>
      <xdr:sp>
        <xdr:nvSpPr>
          <xdr:cNvPr id="43" name="Rectangle 51"/>
          <xdr:cNvSpPr>
            <a:spLocks/>
          </xdr:cNvSpPr>
        </xdr:nvSpPr>
        <xdr:spPr>
          <a:xfrm>
            <a:off x="3913" y="3031"/>
            <a:ext cx="575" cy="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FF9900"/>
                </a:solidFill>
              </a:rPr>
              <a:t> 61 kWh</a:t>
            </a:r>
            <a:r>
              <a:rPr lang="en-US" cap="none" sz="1800" b="0" i="0" u="none" baseline="0">
                <a:solidFill>
                  <a:srgbClr val="FF9900"/>
                </a:solidFill>
              </a:rPr>
              <a:t>
</a:t>
            </a:r>
          </a:p>
        </xdr:txBody>
      </xdr:sp>
      <xdr:sp>
        <xdr:nvSpPr>
          <xdr:cNvPr id="44" name="Rectangle 52"/>
          <xdr:cNvSpPr>
            <a:spLocks/>
          </xdr:cNvSpPr>
        </xdr:nvSpPr>
        <xdr:spPr>
          <a:xfrm>
            <a:off x="4446" y="3031"/>
            <a:ext cx="736" cy="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     69 kWh</a:t>
            </a:r>
            <a:r>
              <a:rPr lang="en-US" cap="none" sz="1800" b="0" i="0" u="none" baseline="0">
                <a:solidFill>
                  <a:srgbClr val="003300"/>
                </a:solidFill>
              </a:rPr>
              <a:t>
</a:t>
            </a:r>
          </a:p>
        </xdr:txBody>
      </xdr:sp>
      <xdr:sp>
        <xdr:nvSpPr>
          <xdr:cNvPr id="45" name="Rectangle 53"/>
          <xdr:cNvSpPr>
            <a:spLocks/>
          </xdr:cNvSpPr>
        </xdr:nvSpPr>
        <xdr:spPr>
          <a:xfrm>
            <a:off x="3233" y="3368"/>
            <a:ext cx="540" cy="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3366FF"/>
                </a:solidFill>
              </a:rPr>
              <a:t>99 kWh</a:t>
            </a:r>
            <a:r>
              <a:rPr lang="en-US" cap="none" sz="1800" b="0" i="0" u="none" baseline="0">
                <a:solidFill>
                  <a:srgbClr val="3366FF"/>
                </a:solidFill>
              </a:rPr>
              <a:t>
</a:t>
            </a:r>
          </a:p>
        </xdr:txBody>
      </xdr:sp>
      <xdr:sp>
        <xdr:nvSpPr>
          <xdr:cNvPr id="46" name="Rectangle 54"/>
          <xdr:cNvSpPr>
            <a:spLocks/>
          </xdr:cNvSpPr>
        </xdr:nvSpPr>
        <xdr:spPr>
          <a:xfrm>
            <a:off x="3899" y="3368"/>
            <a:ext cx="575" cy="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 90 kWh</a:t>
            </a:r>
            <a:r>
              <a:rPr lang="en-US" cap="none" sz="1800" b="0" i="0" u="none" baseline="0">
                <a:solidFill>
                  <a:srgbClr val="003300"/>
                </a:solidFill>
              </a:rPr>
              <a:t>
</a:t>
            </a:r>
          </a:p>
        </xdr:txBody>
      </xdr:sp>
      <xdr:sp>
        <xdr:nvSpPr>
          <xdr:cNvPr id="47" name="Rectangle 55"/>
          <xdr:cNvSpPr>
            <a:spLocks/>
          </xdr:cNvSpPr>
        </xdr:nvSpPr>
        <xdr:spPr>
          <a:xfrm>
            <a:off x="4446" y="3368"/>
            <a:ext cx="736" cy="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     </a:t>
            </a:r>
            <a:r>
              <a:rPr lang="en-US" cap="none" sz="2000" b="0" i="0" u="none" baseline="0">
                <a:solidFill>
                  <a:srgbClr val="3366FF"/>
                </a:solidFill>
              </a:rPr>
              <a:t>99 kWh</a:t>
            </a:r>
            <a:r>
              <a:rPr lang="en-US" cap="none" sz="1800" b="0" i="0" u="none" baseline="0">
                <a:solidFill>
                  <a:srgbClr val="3366FF"/>
                </a:solidFill>
              </a:rPr>
              <a:t>
</a:t>
            </a:r>
          </a:p>
        </xdr:txBody>
      </xdr:sp>
      <xdr:sp>
        <xdr:nvSpPr>
          <xdr:cNvPr id="48" name="Freeform 56"/>
          <xdr:cNvSpPr>
            <a:spLocks/>
          </xdr:cNvSpPr>
        </xdr:nvSpPr>
        <xdr:spPr>
          <a:xfrm>
            <a:off x="3112" y="3629"/>
            <a:ext cx="1104" cy="18"/>
          </a:xfrm>
          <a:custGeom>
            <a:pathLst>
              <a:path h="18" w="1104">
                <a:moveTo>
                  <a:pt x="1104" y="18"/>
                </a:moveTo>
                <a:lnTo>
                  <a:pt x="0" y="18"/>
                </a:lnTo>
                <a:lnTo>
                  <a:pt x="0" y="6"/>
                </a:lnTo>
                <a:lnTo>
                  <a:pt x="0" y="0"/>
                </a:lnTo>
                <a:lnTo>
                  <a:pt x="1104" y="0"/>
                </a:lnTo>
                <a:lnTo>
                  <a:pt x="1104" y="6"/>
                </a:lnTo>
                <a:lnTo>
                  <a:pt x="1104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49" name="Rectangle 57"/>
          <xdr:cNvSpPr>
            <a:spLocks/>
          </xdr:cNvSpPr>
        </xdr:nvSpPr>
        <xdr:spPr>
          <a:xfrm>
            <a:off x="3106" y="3635"/>
            <a:ext cx="6" cy="1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0" name="Freeform 58"/>
          <xdr:cNvSpPr>
            <a:spLocks/>
          </xdr:cNvSpPr>
        </xdr:nvSpPr>
        <xdr:spPr>
          <a:xfrm>
            <a:off x="3106" y="2543"/>
            <a:ext cx="18" cy="1092"/>
          </a:xfrm>
          <a:custGeom>
            <a:pathLst>
              <a:path h="1092" w="18">
                <a:moveTo>
                  <a:pt x="0" y="1092"/>
                </a:moveTo>
                <a:lnTo>
                  <a:pt x="0" y="0"/>
                </a:lnTo>
                <a:lnTo>
                  <a:pt x="6" y="0"/>
                </a:lnTo>
                <a:lnTo>
                  <a:pt x="18" y="0"/>
                </a:lnTo>
                <a:lnTo>
                  <a:pt x="18" y="1092"/>
                </a:lnTo>
                <a:lnTo>
                  <a:pt x="6" y="1092"/>
                </a:lnTo>
                <a:lnTo>
                  <a:pt x="0" y="109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1" name="Rectangle 59"/>
          <xdr:cNvSpPr>
            <a:spLocks/>
          </xdr:cNvSpPr>
        </xdr:nvSpPr>
        <xdr:spPr>
          <a:xfrm>
            <a:off x="3106" y="2537"/>
            <a:ext cx="6" cy="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2" name="Freeform 60"/>
          <xdr:cNvSpPr>
            <a:spLocks/>
          </xdr:cNvSpPr>
        </xdr:nvSpPr>
        <xdr:spPr>
          <a:xfrm>
            <a:off x="3112" y="2537"/>
            <a:ext cx="2202" cy="18"/>
          </a:xfrm>
          <a:custGeom>
            <a:pathLst>
              <a:path h="18" w="2202">
                <a:moveTo>
                  <a:pt x="0" y="0"/>
                </a:moveTo>
                <a:lnTo>
                  <a:pt x="2202" y="0"/>
                </a:lnTo>
                <a:lnTo>
                  <a:pt x="2202" y="6"/>
                </a:lnTo>
                <a:lnTo>
                  <a:pt x="2202" y="18"/>
                </a:lnTo>
                <a:lnTo>
                  <a:pt x="0" y="18"/>
                </a:lnTo>
                <a:lnTo>
                  <a:pt x="0" y="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3" name="Rectangle 61"/>
          <xdr:cNvSpPr>
            <a:spLocks/>
          </xdr:cNvSpPr>
        </xdr:nvSpPr>
        <xdr:spPr>
          <a:xfrm>
            <a:off x="5314" y="2537"/>
            <a:ext cx="12" cy="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4" name="Freeform 62"/>
          <xdr:cNvSpPr>
            <a:spLocks/>
          </xdr:cNvSpPr>
        </xdr:nvSpPr>
        <xdr:spPr>
          <a:xfrm>
            <a:off x="5308" y="2543"/>
            <a:ext cx="18" cy="1092"/>
          </a:xfrm>
          <a:custGeom>
            <a:pathLst>
              <a:path h="1092" w="18">
                <a:moveTo>
                  <a:pt x="18" y="0"/>
                </a:moveTo>
                <a:lnTo>
                  <a:pt x="18" y="1092"/>
                </a:lnTo>
                <a:lnTo>
                  <a:pt x="6" y="1092"/>
                </a:lnTo>
                <a:lnTo>
                  <a:pt x="0" y="1092"/>
                </a:lnTo>
                <a:lnTo>
                  <a:pt x="0" y="0"/>
                </a:lnTo>
                <a:lnTo>
                  <a:pt x="6" y="0"/>
                </a:lnTo>
                <a:lnTo>
                  <a:pt x="1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5" name="Rectangle 63"/>
          <xdr:cNvSpPr>
            <a:spLocks/>
          </xdr:cNvSpPr>
        </xdr:nvSpPr>
        <xdr:spPr>
          <a:xfrm>
            <a:off x="5314" y="3635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6" name="Freeform 64"/>
          <xdr:cNvSpPr>
            <a:spLocks/>
          </xdr:cNvSpPr>
        </xdr:nvSpPr>
        <xdr:spPr>
          <a:xfrm>
            <a:off x="4216" y="3629"/>
            <a:ext cx="1098" cy="18"/>
          </a:xfrm>
          <a:custGeom>
            <a:pathLst>
              <a:path h="18" w="1098">
                <a:moveTo>
                  <a:pt x="1098" y="18"/>
                </a:moveTo>
                <a:lnTo>
                  <a:pt x="0" y="18"/>
                </a:lnTo>
                <a:lnTo>
                  <a:pt x="0" y="6"/>
                </a:lnTo>
                <a:lnTo>
                  <a:pt x="0" y="0"/>
                </a:lnTo>
                <a:lnTo>
                  <a:pt x="1098" y="0"/>
                </a:lnTo>
                <a:lnTo>
                  <a:pt x="1098" y="6"/>
                </a:lnTo>
                <a:lnTo>
                  <a:pt x="1098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7" name="Freeform 65"/>
          <xdr:cNvSpPr>
            <a:spLocks/>
          </xdr:cNvSpPr>
        </xdr:nvSpPr>
        <xdr:spPr>
          <a:xfrm>
            <a:off x="3838" y="2549"/>
            <a:ext cx="18" cy="1092"/>
          </a:xfrm>
          <a:custGeom>
            <a:pathLst>
              <a:path h="1092" w="18">
                <a:moveTo>
                  <a:pt x="18" y="0"/>
                </a:moveTo>
                <a:lnTo>
                  <a:pt x="18" y="1092"/>
                </a:lnTo>
                <a:lnTo>
                  <a:pt x="12" y="1092"/>
                </a:lnTo>
                <a:lnTo>
                  <a:pt x="0" y="1092"/>
                </a:lnTo>
                <a:lnTo>
                  <a:pt x="0" y="0"/>
                </a:lnTo>
                <a:lnTo>
                  <a:pt x="12" y="0"/>
                </a:lnTo>
                <a:lnTo>
                  <a:pt x="1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8" name="Freeform 66"/>
          <xdr:cNvSpPr>
            <a:spLocks/>
          </xdr:cNvSpPr>
        </xdr:nvSpPr>
        <xdr:spPr>
          <a:xfrm>
            <a:off x="4576" y="2549"/>
            <a:ext cx="18" cy="1092"/>
          </a:xfrm>
          <a:custGeom>
            <a:pathLst>
              <a:path h="1092" w="18">
                <a:moveTo>
                  <a:pt x="12" y="0"/>
                </a:moveTo>
                <a:lnTo>
                  <a:pt x="18" y="1092"/>
                </a:lnTo>
                <a:lnTo>
                  <a:pt x="6" y="1092"/>
                </a:lnTo>
                <a:lnTo>
                  <a:pt x="0" y="1092"/>
                </a:lnTo>
                <a:lnTo>
                  <a:pt x="0" y="0"/>
                </a:lnTo>
                <a:lnTo>
                  <a:pt x="6" y="0"/>
                </a:lnTo>
                <a:lnTo>
                  <a:pt x="1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9" name="Freeform 67"/>
          <xdr:cNvSpPr>
            <a:spLocks/>
          </xdr:cNvSpPr>
        </xdr:nvSpPr>
        <xdr:spPr>
          <a:xfrm>
            <a:off x="5308" y="2663"/>
            <a:ext cx="18" cy="1092"/>
          </a:xfrm>
          <a:custGeom>
            <a:pathLst>
              <a:path h="1092" w="18">
                <a:moveTo>
                  <a:pt x="18" y="0"/>
                </a:moveTo>
                <a:lnTo>
                  <a:pt x="18" y="1092"/>
                </a:lnTo>
                <a:lnTo>
                  <a:pt x="12" y="1092"/>
                </a:lnTo>
                <a:lnTo>
                  <a:pt x="0" y="1092"/>
                </a:lnTo>
                <a:lnTo>
                  <a:pt x="0" y="0"/>
                </a:lnTo>
                <a:lnTo>
                  <a:pt x="6" y="0"/>
                </a:lnTo>
                <a:lnTo>
                  <a:pt x="1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0" name="Freeform 68"/>
          <xdr:cNvSpPr>
            <a:spLocks/>
          </xdr:cNvSpPr>
        </xdr:nvSpPr>
        <xdr:spPr>
          <a:xfrm>
            <a:off x="3106" y="2663"/>
            <a:ext cx="18" cy="1092"/>
          </a:xfrm>
          <a:custGeom>
            <a:pathLst>
              <a:path h="1092" w="18">
                <a:moveTo>
                  <a:pt x="18" y="0"/>
                </a:moveTo>
                <a:lnTo>
                  <a:pt x="18" y="1092"/>
                </a:lnTo>
                <a:lnTo>
                  <a:pt x="12" y="1092"/>
                </a:lnTo>
                <a:lnTo>
                  <a:pt x="0" y="1092"/>
                </a:lnTo>
                <a:lnTo>
                  <a:pt x="0" y="0"/>
                </a:lnTo>
                <a:lnTo>
                  <a:pt x="6" y="0"/>
                </a:lnTo>
                <a:lnTo>
                  <a:pt x="1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1" name="Freeform 69"/>
          <xdr:cNvSpPr>
            <a:spLocks/>
          </xdr:cNvSpPr>
        </xdr:nvSpPr>
        <xdr:spPr>
          <a:xfrm>
            <a:off x="3112" y="2903"/>
            <a:ext cx="2202" cy="18"/>
          </a:xfrm>
          <a:custGeom>
            <a:pathLst>
              <a:path h="18" w="2202">
                <a:moveTo>
                  <a:pt x="0" y="0"/>
                </a:moveTo>
                <a:lnTo>
                  <a:pt x="2202" y="0"/>
                </a:lnTo>
                <a:lnTo>
                  <a:pt x="2202" y="6"/>
                </a:lnTo>
                <a:lnTo>
                  <a:pt x="2202" y="18"/>
                </a:lnTo>
                <a:lnTo>
                  <a:pt x="0" y="18"/>
                </a:lnTo>
                <a:lnTo>
                  <a:pt x="0" y="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2" name="Freeform 70"/>
          <xdr:cNvSpPr>
            <a:spLocks/>
          </xdr:cNvSpPr>
        </xdr:nvSpPr>
        <xdr:spPr>
          <a:xfrm>
            <a:off x="3112" y="3263"/>
            <a:ext cx="2202" cy="18"/>
          </a:xfrm>
          <a:custGeom>
            <a:pathLst>
              <a:path h="18" w="2202">
                <a:moveTo>
                  <a:pt x="0" y="0"/>
                </a:moveTo>
                <a:lnTo>
                  <a:pt x="2202" y="0"/>
                </a:lnTo>
                <a:lnTo>
                  <a:pt x="2202" y="12"/>
                </a:lnTo>
                <a:lnTo>
                  <a:pt x="2202" y="18"/>
                </a:lnTo>
                <a:lnTo>
                  <a:pt x="0" y="18"/>
                </a:lnTo>
                <a:lnTo>
                  <a:pt x="0" y="1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3" name="Freeform 71"/>
          <xdr:cNvSpPr>
            <a:spLocks/>
          </xdr:cNvSpPr>
        </xdr:nvSpPr>
        <xdr:spPr>
          <a:xfrm>
            <a:off x="3112" y="2387"/>
            <a:ext cx="312" cy="168"/>
          </a:xfrm>
          <a:custGeom>
            <a:pathLst>
              <a:path h="168" w="312">
                <a:moveTo>
                  <a:pt x="0" y="162"/>
                </a:moveTo>
                <a:lnTo>
                  <a:pt x="306" y="0"/>
                </a:lnTo>
                <a:lnTo>
                  <a:pt x="306" y="6"/>
                </a:lnTo>
                <a:lnTo>
                  <a:pt x="312" y="6"/>
                </a:lnTo>
                <a:lnTo>
                  <a:pt x="6" y="168"/>
                </a:lnTo>
                <a:lnTo>
                  <a:pt x="0" y="16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4" name="Freeform 72"/>
          <xdr:cNvSpPr>
            <a:spLocks/>
          </xdr:cNvSpPr>
        </xdr:nvSpPr>
        <xdr:spPr>
          <a:xfrm>
            <a:off x="5302" y="2387"/>
            <a:ext cx="210" cy="168"/>
          </a:xfrm>
          <a:custGeom>
            <a:pathLst>
              <a:path h="168" w="210">
                <a:moveTo>
                  <a:pt x="0" y="162"/>
                </a:moveTo>
                <a:lnTo>
                  <a:pt x="204" y="0"/>
                </a:lnTo>
                <a:lnTo>
                  <a:pt x="210" y="6"/>
                </a:lnTo>
                <a:lnTo>
                  <a:pt x="6" y="168"/>
                </a:lnTo>
                <a:lnTo>
                  <a:pt x="6" y="162"/>
                </a:lnTo>
                <a:lnTo>
                  <a:pt x="0" y="16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5" name="Freeform 73"/>
          <xdr:cNvSpPr>
            <a:spLocks/>
          </xdr:cNvSpPr>
        </xdr:nvSpPr>
        <xdr:spPr>
          <a:xfrm>
            <a:off x="3418" y="2393"/>
            <a:ext cx="2094" cy="12"/>
          </a:xfrm>
          <a:custGeom>
            <a:pathLst>
              <a:path h="12" w="2094">
                <a:moveTo>
                  <a:pt x="0" y="0"/>
                </a:moveTo>
                <a:lnTo>
                  <a:pt x="2094" y="6"/>
                </a:lnTo>
                <a:lnTo>
                  <a:pt x="2094" y="12"/>
                </a:lnTo>
                <a:lnTo>
                  <a:pt x="0" y="12"/>
                </a:lnTo>
                <a:lnTo>
                  <a:pt x="0" y="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6" name="Freeform 74"/>
          <xdr:cNvSpPr>
            <a:spLocks/>
          </xdr:cNvSpPr>
        </xdr:nvSpPr>
        <xdr:spPr>
          <a:xfrm>
            <a:off x="5302" y="3539"/>
            <a:ext cx="210" cy="216"/>
          </a:xfrm>
          <a:custGeom>
            <a:pathLst>
              <a:path h="216" w="210">
                <a:moveTo>
                  <a:pt x="0" y="210"/>
                </a:moveTo>
                <a:lnTo>
                  <a:pt x="204" y="0"/>
                </a:lnTo>
                <a:lnTo>
                  <a:pt x="210" y="6"/>
                </a:lnTo>
                <a:lnTo>
                  <a:pt x="6" y="216"/>
                </a:lnTo>
                <a:lnTo>
                  <a:pt x="6" y="210"/>
                </a:lnTo>
                <a:lnTo>
                  <a:pt x="0" y="2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7" name="Freeform 75"/>
          <xdr:cNvSpPr>
            <a:spLocks/>
          </xdr:cNvSpPr>
        </xdr:nvSpPr>
        <xdr:spPr>
          <a:xfrm>
            <a:off x="5506" y="2393"/>
            <a:ext cx="6" cy="1164"/>
          </a:xfrm>
          <a:custGeom>
            <a:pathLst>
              <a:path h="1164" w="6">
                <a:moveTo>
                  <a:pt x="0" y="1164"/>
                </a:moveTo>
                <a:lnTo>
                  <a:pt x="0" y="0"/>
                </a:lnTo>
                <a:lnTo>
                  <a:pt x="6" y="0"/>
                </a:lnTo>
                <a:lnTo>
                  <a:pt x="6" y="1164"/>
                </a:lnTo>
                <a:lnTo>
                  <a:pt x="0" y="116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819150</xdr:colOff>
      <xdr:row>4</xdr:row>
      <xdr:rowOff>133350</xdr:rowOff>
    </xdr:to>
    <xdr:pic>
      <xdr:nvPicPr>
        <xdr:cNvPr id="68" name="Picture 76" descr="e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781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50</xdr:row>
      <xdr:rowOff>0</xdr:rowOff>
    </xdr:from>
    <xdr:to>
      <xdr:col>6</xdr:col>
      <xdr:colOff>819150</xdr:colOff>
      <xdr:row>54</xdr:row>
      <xdr:rowOff>28575</xdr:rowOff>
    </xdr:to>
    <xdr:pic>
      <xdr:nvPicPr>
        <xdr:cNvPr id="69" name="Picture 77" descr="e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58202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</xdr:row>
      <xdr:rowOff>85725</xdr:rowOff>
    </xdr:from>
    <xdr:to>
      <xdr:col>6</xdr:col>
      <xdr:colOff>800100</xdr:colOff>
      <xdr:row>44</xdr:row>
      <xdr:rowOff>76200</xdr:rowOff>
    </xdr:to>
    <xdr:grpSp>
      <xdr:nvGrpSpPr>
        <xdr:cNvPr id="70" name="Group 78"/>
        <xdr:cNvGrpSpPr>
          <a:grpSpLocks/>
        </xdr:cNvGrpSpPr>
      </xdr:nvGrpSpPr>
      <xdr:grpSpPr>
        <a:xfrm>
          <a:off x="28575" y="2066925"/>
          <a:ext cx="5676900" cy="5619750"/>
          <a:chOff x="158" y="663"/>
          <a:chExt cx="5377" cy="3657"/>
        </a:xfrm>
        <a:solidFill>
          <a:srgbClr val="FFFFFF"/>
        </a:solidFill>
      </xdr:grpSpPr>
      <xdr:pic>
        <xdr:nvPicPr>
          <xdr:cNvPr id="71" name="Picture 79"/>
          <xdr:cNvPicPr preferRelativeResize="1">
            <a:picLocks noChangeAspect="1"/>
          </xdr:cNvPicPr>
        </xdr:nvPicPr>
        <xdr:blipFill>
          <a:blip r:embed="rId2"/>
          <a:srcRect l="5451" t="1249" r="953" b="11219"/>
          <a:stretch>
            <a:fillRect/>
          </a:stretch>
        </xdr:blipFill>
        <xdr:spPr>
          <a:xfrm>
            <a:off x="158" y="663"/>
            <a:ext cx="5377" cy="365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2" name="Text Box 80"/>
          <xdr:cNvSpPr txBox="1">
            <a:spLocks noChangeArrowheads="1"/>
          </xdr:cNvSpPr>
        </xdr:nvSpPr>
        <xdr:spPr>
          <a:xfrm>
            <a:off x="516" y="4136"/>
            <a:ext cx="819" cy="1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00"/>
                </a:solidFill>
              </a:rPr>
              <a:t>Avant 1972
</a:t>
            </a:r>
          </a:p>
        </xdr:txBody>
      </xdr:sp>
      <xdr:sp>
        <xdr:nvSpPr>
          <xdr:cNvPr id="73" name="Text Box 81"/>
          <xdr:cNvSpPr txBox="1">
            <a:spLocks noChangeArrowheads="1"/>
          </xdr:cNvSpPr>
        </xdr:nvSpPr>
        <xdr:spPr>
          <a:xfrm>
            <a:off x="1293" y="4136"/>
            <a:ext cx="819" cy="1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3300"/>
                </a:solidFill>
              </a:rPr>
              <a:t>1972 à 1984
</a:t>
            </a:r>
          </a:p>
        </xdr:txBody>
      </xdr:sp>
      <xdr:sp>
        <xdr:nvSpPr>
          <xdr:cNvPr id="74" name="Text Box 82"/>
          <xdr:cNvSpPr txBox="1">
            <a:spLocks noChangeArrowheads="1"/>
          </xdr:cNvSpPr>
        </xdr:nvSpPr>
        <xdr:spPr>
          <a:xfrm>
            <a:off x="2153" y="4136"/>
            <a:ext cx="819" cy="1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3300"/>
                </a:solidFill>
              </a:rPr>
              <a:t>1984 à 1989
</a:t>
            </a:r>
          </a:p>
        </xdr:txBody>
      </xdr:sp>
      <xdr:sp>
        <xdr:nvSpPr>
          <xdr:cNvPr id="75" name="Text Box 83"/>
          <xdr:cNvSpPr txBox="1">
            <a:spLocks noChangeArrowheads="1"/>
          </xdr:cNvSpPr>
        </xdr:nvSpPr>
        <xdr:spPr>
          <a:xfrm>
            <a:off x="3015" y="4136"/>
            <a:ext cx="809" cy="1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3300"/>
                </a:solidFill>
              </a:rPr>
              <a:t>1989 à 2001
</a:t>
            </a:r>
          </a:p>
        </xdr:txBody>
      </xdr:sp>
      <xdr:sp>
        <xdr:nvSpPr>
          <xdr:cNvPr id="76" name="Text Box 84"/>
          <xdr:cNvSpPr txBox="1">
            <a:spLocks noChangeArrowheads="1"/>
          </xdr:cNvSpPr>
        </xdr:nvSpPr>
        <xdr:spPr>
          <a:xfrm>
            <a:off x="3822" y="4136"/>
            <a:ext cx="819" cy="1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3300"/>
                </a:solidFill>
              </a:rPr>
              <a:t>2001 à 2006
</a:t>
            </a:r>
          </a:p>
        </xdr:txBody>
      </xdr:sp>
      <xdr:sp>
        <xdr:nvSpPr>
          <xdr:cNvPr id="77" name="Text Box 85"/>
          <xdr:cNvSpPr txBox="1">
            <a:spLocks noChangeArrowheads="1"/>
          </xdr:cNvSpPr>
        </xdr:nvSpPr>
        <xdr:spPr>
          <a:xfrm>
            <a:off x="4695" y="4136"/>
            <a:ext cx="819" cy="1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3300"/>
                </a:solidFill>
              </a:rPr>
              <a:t>Après  2006
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28575</xdr:rowOff>
    </xdr:from>
    <xdr:to>
      <xdr:col>6</xdr:col>
      <xdr:colOff>295275</xdr:colOff>
      <xdr:row>40</xdr:row>
      <xdr:rowOff>133350</xdr:rowOff>
    </xdr:to>
    <xdr:graphicFrame>
      <xdr:nvGraphicFramePr>
        <xdr:cNvPr id="1" name="Graphique 9"/>
        <xdr:cNvGraphicFramePr/>
      </xdr:nvGraphicFramePr>
      <xdr:xfrm>
        <a:off x="161925" y="3829050"/>
        <a:ext cx="50482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771525</xdr:colOff>
      <xdr:row>4</xdr:row>
      <xdr:rowOff>152400</xdr:rowOff>
    </xdr:to>
    <xdr:pic>
      <xdr:nvPicPr>
        <xdr:cNvPr id="2" name="Picture 10" descr="e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0"/>
          <a:ext cx="77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31</xdr:row>
      <xdr:rowOff>85725</xdr:rowOff>
    </xdr:from>
    <xdr:to>
      <xdr:col>5</xdr:col>
      <xdr:colOff>552450</xdr:colOff>
      <xdr:row>49</xdr:row>
      <xdr:rowOff>38100</xdr:rowOff>
    </xdr:to>
    <xdr:graphicFrame>
      <xdr:nvGraphicFramePr>
        <xdr:cNvPr id="1" name="Graphique 8"/>
        <xdr:cNvGraphicFramePr/>
      </xdr:nvGraphicFramePr>
      <xdr:xfrm>
        <a:off x="619125" y="5705475"/>
        <a:ext cx="45434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0</xdr:row>
      <xdr:rowOff>85725</xdr:rowOff>
    </xdr:from>
    <xdr:to>
      <xdr:col>5</xdr:col>
      <xdr:colOff>914400</xdr:colOff>
      <xdr:row>5</xdr:row>
      <xdr:rowOff>47625</xdr:rowOff>
    </xdr:to>
    <xdr:pic>
      <xdr:nvPicPr>
        <xdr:cNvPr id="2" name="Picture 10" descr="e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85725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@dromenet.org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6"/>
  <sheetViews>
    <sheetView zoomScaleSheetLayoutView="100" workbookViewId="0" topLeftCell="A1">
      <selection activeCell="G19" sqref="G19"/>
    </sheetView>
  </sheetViews>
  <sheetFormatPr defaultColWidth="11.00390625" defaultRowHeight="12.75"/>
  <cols>
    <col min="1" max="1" width="16.625" style="0" customWidth="1"/>
    <col min="2" max="2" width="13.375" style="0" customWidth="1"/>
    <col min="3" max="3" width="16.25390625" style="0" customWidth="1"/>
    <col min="4" max="4" width="9.375" style="0" customWidth="1"/>
    <col min="5" max="5" width="8.625" style="0" customWidth="1"/>
    <col min="8" max="8" width="20.75390625" style="0" hidden="1" customWidth="1"/>
  </cols>
  <sheetData>
    <row r="1" ht="13.5" thickBot="1"/>
    <row r="2" spans="1:5" ht="18.75" thickBot="1">
      <c r="A2" s="337" t="s">
        <v>104</v>
      </c>
      <c r="B2" s="18"/>
      <c r="C2" s="18"/>
      <c r="D2" s="18"/>
      <c r="E2" s="19"/>
    </row>
    <row r="3" spans="1:7" ht="12.75">
      <c r="A3" s="309"/>
      <c r="B3" s="309"/>
      <c r="C3" s="309"/>
      <c r="D3" s="309"/>
      <c r="E3" s="309"/>
      <c r="G3" s="32"/>
    </row>
    <row r="4" ht="12.75">
      <c r="G4" s="32"/>
    </row>
    <row r="5" spans="1:5" ht="15.75">
      <c r="A5" s="5" t="s">
        <v>87</v>
      </c>
      <c r="B5" s="6"/>
      <c r="C5" s="6"/>
      <c r="D5" s="6"/>
      <c r="E5" s="6"/>
    </row>
    <row r="6" spans="1:4" ht="15.75">
      <c r="A6" s="9"/>
      <c r="B6" s="10"/>
      <c r="C6" s="10"/>
      <c r="D6" s="10"/>
    </row>
    <row r="7" spans="1:4" ht="12.75">
      <c r="A7" s="7" t="s">
        <v>44</v>
      </c>
      <c r="B7" s="7"/>
      <c r="C7" s="335" t="s">
        <v>0</v>
      </c>
      <c r="D7" s="335"/>
    </row>
    <row r="8" spans="1:4" ht="12.75">
      <c r="A8" s="7" t="s">
        <v>322</v>
      </c>
      <c r="B8" s="7"/>
      <c r="C8" s="47" t="s">
        <v>321</v>
      </c>
      <c r="D8" s="30"/>
    </row>
    <row r="9" spans="1:4" ht="12.75">
      <c r="A9" s="7" t="s">
        <v>2</v>
      </c>
      <c r="B9" s="1"/>
      <c r="C9" s="8" t="s">
        <v>1</v>
      </c>
      <c r="D9" s="8"/>
    </row>
    <row r="10" spans="1:3" ht="12.75">
      <c r="A10" s="7"/>
      <c r="B10" s="7"/>
      <c r="C10" s="1"/>
    </row>
    <row r="11" spans="1:3" ht="12.75">
      <c r="A11" s="7"/>
      <c r="B11" s="7"/>
      <c r="C11" s="1"/>
    </row>
    <row r="13" spans="1:6" ht="15.75">
      <c r="A13" s="5" t="s">
        <v>88</v>
      </c>
      <c r="B13" s="6"/>
      <c r="C13" s="6"/>
      <c r="D13" s="6"/>
      <c r="E13" s="6"/>
      <c r="F13" s="6"/>
    </row>
    <row r="15" ht="15.75">
      <c r="A15" s="12" t="s">
        <v>89</v>
      </c>
    </row>
    <row r="16" ht="12.75">
      <c r="A16" t="s">
        <v>105</v>
      </c>
    </row>
    <row r="17" ht="12.75">
      <c r="A17" t="s">
        <v>311</v>
      </c>
    </row>
    <row r="18" ht="12.75">
      <c r="A18" s="310" t="s">
        <v>312</v>
      </c>
    </row>
    <row r="19" spans="1:10" s="11" customFormat="1" ht="15.75">
      <c r="A19" s="9"/>
      <c r="B19" s="34"/>
      <c r="H19" s="36"/>
      <c r="I19" s="35"/>
      <c r="J19" s="35"/>
    </row>
    <row r="20" spans="1:10" s="11" customFormat="1" ht="15.75">
      <c r="A20" s="12" t="s">
        <v>90</v>
      </c>
      <c r="B20" s="34"/>
      <c r="H20" s="37"/>
      <c r="I20" s="35"/>
      <c r="J20" s="35"/>
    </row>
    <row r="21" spans="1:10" s="11" customFormat="1" ht="12.75">
      <c r="A21" t="s">
        <v>106</v>
      </c>
      <c r="B21" s="34"/>
      <c r="H21" s="33"/>
      <c r="I21" s="35"/>
      <c r="J21" s="35"/>
    </row>
    <row r="22" spans="1:8" s="11" customFormat="1" ht="12.75">
      <c r="A22" t="s">
        <v>107</v>
      </c>
      <c r="B22" s="34"/>
      <c r="H22" s="1"/>
    </row>
    <row r="23" spans="1:8" s="11" customFormat="1" ht="15.75">
      <c r="A23" s="9"/>
      <c r="B23" s="34"/>
      <c r="H23" s="1"/>
    </row>
    <row r="24" spans="1:8" s="11" customFormat="1" ht="15.75">
      <c r="A24" s="12" t="s">
        <v>91</v>
      </c>
      <c r="B24" s="34"/>
      <c r="H24" s="1"/>
    </row>
    <row r="25" spans="1:8" s="11" customFormat="1" ht="12.75">
      <c r="A25" t="s">
        <v>108</v>
      </c>
      <c r="B25" s="34"/>
      <c r="H25" s="1"/>
    </row>
    <row r="26" spans="1:8" s="11" customFormat="1" ht="12.75">
      <c r="A26" t="s">
        <v>109</v>
      </c>
      <c r="B26" s="34"/>
      <c r="H26" s="1"/>
    </row>
    <row r="27" spans="1:8" s="11" customFormat="1" ht="12.75">
      <c r="A27" s="1" t="s">
        <v>254</v>
      </c>
      <c r="B27" s="34"/>
      <c r="H27" s="1"/>
    </row>
    <row r="28" spans="1:8" s="11" customFormat="1" ht="15.75">
      <c r="A28" s="9"/>
      <c r="B28" s="34"/>
      <c r="H28" s="1"/>
    </row>
    <row r="29" spans="1:8" s="11" customFormat="1" ht="15.75">
      <c r="A29" s="12" t="s">
        <v>92</v>
      </c>
      <c r="B29" s="34"/>
      <c r="H29" s="1"/>
    </row>
    <row r="30" spans="1:8" s="11" customFormat="1" ht="12.75">
      <c r="A30" s="1" t="s">
        <v>255</v>
      </c>
      <c r="B30" s="34"/>
      <c r="H30" s="1"/>
    </row>
    <row r="31" spans="1:8" s="11" customFormat="1" ht="12.75">
      <c r="A31" t="s">
        <v>110</v>
      </c>
      <c r="B31" s="34"/>
      <c r="H31" s="1"/>
    </row>
    <row r="32" spans="1:8" s="11" customFormat="1" ht="15.75">
      <c r="A32" s="9"/>
      <c r="B32" s="34"/>
      <c r="H32" s="1"/>
    </row>
    <row r="33" spans="1:8" s="11" customFormat="1" ht="15.75">
      <c r="A33" s="12" t="s">
        <v>93</v>
      </c>
      <c r="B33" s="34"/>
      <c r="H33" s="1"/>
    </row>
    <row r="34" spans="1:8" s="11" customFormat="1" ht="12.75">
      <c r="A34" t="s">
        <v>111</v>
      </c>
      <c r="B34" s="34"/>
      <c r="H34" s="1"/>
    </row>
    <row r="35" spans="1:8" s="11" customFormat="1" ht="15.75">
      <c r="A35" s="9"/>
      <c r="B35" s="34"/>
      <c r="H35" s="1"/>
    </row>
    <row r="36" spans="1:8" s="11" customFormat="1" ht="15.75">
      <c r="A36" s="9"/>
      <c r="B36" s="34"/>
      <c r="H36" s="1"/>
    </row>
    <row r="37" spans="1:8" s="11" customFormat="1" ht="15.75">
      <c r="A37" s="228" t="s">
        <v>256</v>
      </c>
      <c r="B37" s="6"/>
      <c r="C37" s="6"/>
      <c r="D37" s="6"/>
      <c r="E37" s="6"/>
      <c r="F37" s="6"/>
      <c r="H37" s="1"/>
    </row>
    <row r="38" spans="1:8" s="11" customFormat="1" ht="15.75">
      <c r="A38" s="9"/>
      <c r="B38" s="34"/>
      <c r="H38" s="1"/>
    </row>
    <row r="39" spans="1:8" s="11" customFormat="1" ht="12.75">
      <c r="A39" t="s">
        <v>128</v>
      </c>
      <c r="B39" s="34"/>
      <c r="H39" s="1"/>
    </row>
    <row r="40" spans="1:8" s="11" customFormat="1" ht="12.75">
      <c r="A40" t="s">
        <v>129</v>
      </c>
      <c r="B40" s="34"/>
      <c r="H40" s="1"/>
    </row>
    <row r="41" spans="1:8" s="11" customFormat="1" ht="12.75">
      <c r="A41" s="38" t="s">
        <v>130</v>
      </c>
      <c r="B41" s="34"/>
      <c r="H41" s="1"/>
    </row>
    <row r="42" spans="1:8" s="11" customFormat="1" ht="12.75">
      <c r="A42" s="1" t="s">
        <v>253</v>
      </c>
      <c r="B42" s="34"/>
      <c r="H42" s="1"/>
    </row>
    <row r="43" spans="1:8" s="11" customFormat="1" ht="12.75">
      <c r="A43" s="1" t="s">
        <v>315</v>
      </c>
      <c r="B43" s="34"/>
      <c r="H43" s="1"/>
    </row>
    <row r="44" spans="1:8" s="11" customFormat="1" ht="12.75">
      <c r="A44"/>
      <c r="B44" s="34"/>
      <c r="H44" s="1"/>
    </row>
    <row r="45" spans="1:5" ht="13.5" customHeight="1">
      <c r="A45" t="s">
        <v>131</v>
      </c>
      <c r="B45" s="2"/>
      <c r="C45" s="22"/>
      <c r="D45" s="22"/>
      <c r="E45" s="11"/>
    </row>
    <row r="46" spans="1:5" ht="13.5" customHeight="1">
      <c r="A46" t="s">
        <v>133</v>
      </c>
      <c r="B46" s="2"/>
      <c r="C46" s="22"/>
      <c r="D46" s="22"/>
      <c r="E46" s="11"/>
    </row>
    <row r="47" spans="1:5" ht="13.5" customHeight="1">
      <c r="A47" t="s">
        <v>132</v>
      </c>
      <c r="B47" s="2"/>
      <c r="C47" s="22"/>
      <c r="D47" s="22"/>
      <c r="E47" s="11"/>
    </row>
    <row r="48" spans="2:5" ht="13.5" customHeight="1">
      <c r="B48" s="2"/>
      <c r="C48" s="22"/>
      <c r="D48" s="22"/>
      <c r="E48" s="11"/>
    </row>
    <row r="49" spans="1:6" ht="15.75">
      <c r="A49" s="5" t="s">
        <v>94</v>
      </c>
      <c r="B49" s="6"/>
      <c r="C49" s="6"/>
      <c r="D49" s="6"/>
      <c r="E49" s="6"/>
      <c r="F49" s="6"/>
    </row>
    <row r="51" ht="15.75">
      <c r="A51" s="12" t="s">
        <v>167</v>
      </c>
    </row>
    <row r="52" ht="12.75">
      <c r="A52" t="s">
        <v>169</v>
      </c>
    </row>
    <row r="53" ht="12.75">
      <c r="A53" s="1" t="s">
        <v>300</v>
      </c>
    </row>
    <row r="54" ht="12.75">
      <c r="A54" s="25" t="s">
        <v>173</v>
      </c>
    </row>
    <row r="56" ht="15.75">
      <c r="A56" s="12" t="s">
        <v>95</v>
      </c>
    </row>
    <row r="57" ht="12.75">
      <c r="A57" s="1" t="s">
        <v>289</v>
      </c>
    </row>
    <row r="59" ht="15.75">
      <c r="A59" s="12" t="s">
        <v>96</v>
      </c>
    </row>
    <row r="60" ht="12.75">
      <c r="A60" t="s">
        <v>113</v>
      </c>
    </row>
    <row r="61" ht="12.75">
      <c r="A61" t="s">
        <v>112</v>
      </c>
    </row>
    <row r="63" ht="15.75">
      <c r="A63" s="12" t="s">
        <v>97</v>
      </c>
    </row>
    <row r="64" ht="12.75">
      <c r="A64" s="1" t="s">
        <v>316</v>
      </c>
    </row>
    <row r="65" ht="12.75">
      <c r="A65" t="s">
        <v>114</v>
      </c>
    </row>
    <row r="67" ht="15.75">
      <c r="A67" s="12" t="s">
        <v>65</v>
      </c>
    </row>
    <row r="68" ht="12.75">
      <c r="A68" t="s">
        <v>115</v>
      </c>
    </row>
    <row r="69" ht="12.75">
      <c r="A69" t="s">
        <v>116</v>
      </c>
    </row>
    <row r="71" ht="15.75">
      <c r="A71" s="12" t="s">
        <v>98</v>
      </c>
    </row>
    <row r="72" ht="12.75">
      <c r="A72" t="s">
        <v>118</v>
      </c>
    </row>
    <row r="73" ht="12.75">
      <c r="A73" t="s">
        <v>117</v>
      </c>
    </row>
    <row r="75" ht="15.75">
      <c r="A75" s="12" t="s">
        <v>58</v>
      </c>
    </row>
    <row r="76" ht="12.75">
      <c r="A76" t="s">
        <v>99</v>
      </c>
    </row>
    <row r="77" ht="12.75">
      <c r="A77" t="s">
        <v>102</v>
      </c>
    </row>
    <row r="78" ht="12.75">
      <c r="A78" t="s">
        <v>103</v>
      </c>
    </row>
    <row r="80" ht="12.75">
      <c r="A80" s="39" t="s">
        <v>191</v>
      </c>
    </row>
    <row r="81" ht="12.75">
      <c r="A81" s="39" t="s">
        <v>192</v>
      </c>
    </row>
    <row r="82" ht="12.75">
      <c r="A82" s="39"/>
    </row>
    <row r="84" spans="1:6" ht="15.75">
      <c r="A84" s="5" t="s">
        <v>100</v>
      </c>
      <c r="B84" s="6"/>
      <c r="C84" s="6"/>
      <c r="D84" s="6"/>
      <c r="E84" s="6"/>
      <c r="F84" s="6"/>
    </row>
    <row r="86" ht="12.75">
      <c r="A86" t="s">
        <v>189</v>
      </c>
    </row>
    <row r="87" ht="12.75">
      <c r="A87" t="s">
        <v>101</v>
      </c>
    </row>
    <row r="88" ht="12.75">
      <c r="A88" s="1" t="s">
        <v>258</v>
      </c>
    </row>
    <row r="89" spans="1:6" ht="12.75">
      <c r="A89" s="1" t="s">
        <v>261</v>
      </c>
      <c r="F89" s="336" t="s">
        <v>262</v>
      </c>
    </row>
    <row r="90" spans="1:6" ht="12.75">
      <c r="A90" t="s">
        <v>260</v>
      </c>
      <c r="F90" s="336" t="s">
        <v>263</v>
      </c>
    </row>
    <row r="91" ht="12.75">
      <c r="F91" s="336" t="s">
        <v>259</v>
      </c>
    </row>
    <row r="92" ht="12.75">
      <c r="A92" s="38" t="s">
        <v>257</v>
      </c>
    </row>
    <row r="96" ht="18">
      <c r="A96" s="41"/>
    </row>
  </sheetData>
  <sheetProtection/>
  <hyperlinks>
    <hyperlink ref="F90" r:id="rId1" display="ed@dromenet.org"/>
  </hyperlinks>
  <printOptions/>
  <pageMargins left="0.787401575" right="0.787401575" top="0.8" bottom="0.984251969" header="0.5" footer="0.5"/>
  <pageSetup orientation="portrait" paperSize="9"/>
  <rowBreaks count="1" manualBreakCount="1">
    <brk id="4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3"/>
  <sheetViews>
    <sheetView zoomScale="85" zoomScaleNormal="85" zoomScaleSheetLayoutView="85" workbookViewId="0" topLeftCell="A1">
      <selection activeCell="F85" sqref="F85"/>
    </sheetView>
  </sheetViews>
  <sheetFormatPr defaultColWidth="11.00390625" defaultRowHeight="12.75"/>
  <cols>
    <col min="1" max="1" width="17.875" style="0" customWidth="1"/>
  </cols>
  <sheetData>
    <row r="1" spans="1:6" ht="29.25" customHeight="1" thickBot="1">
      <c r="A1" s="344" t="s">
        <v>347</v>
      </c>
      <c r="B1" s="345"/>
      <c r="C1" s="345"/>
      <c r="D1" s="345"/>
      <c r="E1" s="345"/>
      <c r="F1" s="346"/>
    </row>
    <row r="4" spans="1:4" ht="15.75">
      <c r="A4" s="321" t="s">
        <v>377</v>
      </c>
      <c r="B4" s="322"/>
      <c r="C4" s="322"/>
      <c r="D4" s="315"/>
    </row>
    <row r="7" spans="1:6" ht="15.75">
      <c r="A7" s="296" t="s">
        <v>363</v>
      </c>
      <c r="B7" s="301"/>
      <c r="C7" s="301"/>
      <c r="E7" s="317" t="s">
        <v>354</v>
      </c>
      <c r="F7" s="301"/>
    </row>
    <row r="8" spans="1:7" ht="15.75">
      <c r="A8" s="296"/>
      <c r="E8" s="316" t="s">
        <v>355</v>
      </c>
      <c r="G8" s="299"/>
    </row>
    <row r="9" spans="1:5" ht="15.75">
      <c r="A9" s="296"/>
      <c r="E9" s="316"/>
    </row>
    <row r="10" spans="1:6" ht="18">
      <c r="A10" s="296" t="s">
        <v>379</v>
      </c>
      <c r="B10" s="301"/>
      <c r="C10" s="301"/>
      <c r="E10" s="317" t="s">
        <v>348</v>
      </c>
      <c r="F10" s="318"/>
    </row>
    <row r="14" spans="1:5" ht="15.75">
      <c r="A14" s="296" t="s">
        <v>284</v>
      </c>
      <c r="B14" s="297"/>
      <c r="C14" s="297"/>
      <c r="D14" s="301"/>
      <c r="E14" s="301" t="s">
        <v>297</v>
      </c>
    </row>
    <row r="15" spans="1:6" ht="15.75">
      <c r="A15" s="296"/>
      <c r="B15" s="297"/>
      <c r="C15" s="297"/>
      <c r="D15" s="297"/>
      <c r="E15" s="297"/>
      <c r="F15" s="297"/>
    </row>
    <row r="16" spans="1:6" ht="18">
      <c r="A16" s="297" t="s">
        <v>380</v>
      </c>
      <c r="B16" s="296"/>
      <c r="D16" s="301"/>
      <c r="E16" s="301"/>
      <c r="F16" s="301"/>
    </row>
    <row r="17" spans="1:6" ht="15.75">
      <c r="A17" s="296"/>
      <c r="D17" s="296"/>
      <c r="E17" s="296"/>
      <c r="F17" s="296"/>
    </row>
    <row r="18" spans="1:6" ht="18">
      <c r="A18" s="296" t="s">
        <v>381</v>
      </c>
      <c r="D18" s="301"/>
      <c r="E18" s="301"/>
      <c r="F18" s="301"/>
    </row>
    <row r="19" spans="1:6" ht="15.75">
      <c r="A19" s="296"/>
      <c r="D19" s="296"/>
      <c r="E19" s="296"/>
      <c r="F19" s="296"/>
    </row>
    <row r="20" spans="1:6" ht="15.75">
      <c r="A20" s="296"/>
      <c r="D20" s="296"/>
      <c r="E20" s="296"/>
      <c r="F20" s="296"/>
    </row>
    <row r="21" spans="1:6" ht="18">
      <c r="A21" s="296" t="s">
        <v>382</v>
      </c>
      <c r="D21" s="301"/>
      <c r="E21" s="301"/>
      <c r="F21" s="301"/>
    </row>
    <row r="22" spans="1:6" ht="15.75">
      <c r="A22" s="296"/>
      <c r="B22" s="296"/>
      <c r="D22" s="296"/>
      <c r="E22" s="296"/>
      <c r="F22" s="296"/>
    </row>
    <row r="24" spans="1:6" ht="15.75">
      <c r="A24" s="297" t="s">
        <v>283</v>
      </c>
      <c r="B24" s="314" t="s">
        <v>383</v>
      </c>
      <c r="D24" s="301"/>
      <c r="E24" s="301"/>
      <c r="F24" s="301"/>
    </row>
    <row r="25" spans="1:6" ht="15.75">
      <c r="A25" s="298"/>
      <c r="B25" s="314" t="s">
        <v>384</v>
      </c>
      <c r="D25" s="301"/>
      <c r="E25" s="301"/>
      <c r="F25" s="301"/>
    </row>
    <row r="26" spans="1:6" ht="15.75">
      <c r="A26" s="296"/>
      <c r="B26" s="314" t="s">
        <v>385</v>
      </c>
      <c r="D26" s="301"/>
      <c r="E26" s="301"/>
      <c r="F26" s="301"/>
    </row>
    <row r="27" spans="1:6" ht="15.75">
      <c r="A27" s="296"/>
      <c r="B27" s="314" t="s">
        <v>386</v>
      </c>
      <c r="D27" s="301"/>
      <c r="E27" s="301"/>
      <c r="F27" s="301"/>
    </row>
    <row r="28" spans="2:6" ht="15.75">
      <c r="B28" s="314" t="s">
        <v>387</v>
      </c>
      <c r="D28" s="301"/>
      <c r="E28" s="301"/>
      <c r="F28" s="301"/>
    </row>
    <row r="29" spans="3:6" ht="15.75">
      <c r="C29" s="319" t="s">
        <v>388</v>
      </c>
      <c r="D29" s="301"/>
      <c r="E29" s="301"/>
      <c r="F29" s="301"/>
    </row>
    <row r="30" spans="1:6" ht="15.75">
      <c r="A30" s="296"/>
      <c r="B30" s="314" t="s">
        <v>389</v>
      </c>
      <c r="C30" s="296"/>
      <c r="D30" s="301"/>
      <c r="E30" s="301"/>
      <c r="F30" s="301"/>
    </row>
    <row r="31" ht="12.75">
      <c r="N31" s="312"/>
    </row>
    <row r="33" spans="1:5" ht="15.75">
      <c r="A33" s="296" t="s">
        <v>337</v>
      </c>
      <c r="B33" s="48"/>
      <c r="D33" s="301"/>
      <c r="E33" s="301" t="s">
        <v>338</v>
      </c>
    </row>
    <row r="34" ht="12.75">
      <c r="B34" s="48"/>
    </row>
    <row r="35" ht="12.75">
      <c r="B35" s="48"/>
    </row>
    <row r="36" ht="12.75">
      <c r="B36" s="48"/>
    </row>
    <row r="37" ht="12.75">
      <c r="B37" s="48"/>
    </row>
    <row r="38" ht="12.75">
      <c r="G38" s="299"/>
    </row>
    <row r="42" ht="12.75">
      <c r="B42" s="48"/>
    </row>
    <row r="43" spans="1:2" ht="12.75">
      <c r="A43" s="25" t="s">
        <v>371</v>
      </c>
      <c r="B43" s="320"/>
    </row>
    <row r="44" spans="1:2" ht="12.75">
      <c r="A44" s="25"/>
      <c r="B44" s="25" t="s">
        <v>375</v>
      </c>
    </row>
    <row r="45" spans="1:2" ht="12.75">
      <c r="A45" s="25"/>
      <c r="B45" s="320"/>
    </row>
    <row r="46" spans="1:2" ht="12.75">
      <c r="A46" s="25"/>
      <c r="B46" s="320"/>
    </row>
    <row r="47" spans="1:2" ht="12.75">
      <c r="A47" s="25" t="s">
        <v>372</v>
      </c>
      <c r="B47" s="320" t="s">
        <v>373</v>
      </c>
    </row>
    <row r="48" spans="1:2" ht="12.75">
      <c r="A48" s="25"/>
      <c r="B48" s="320" t="s">
        <v>374</v>
      </c>
    </row>
    <row r="49" spans="1:2" ht="12.75">
      <c r="A49" s="25"/>
      <c r="B49" s="25" t="s">
        <v>263</v>
      </c>
    </row>
    <row r="50" ht="12.75">
      <c r="B50" s="48"/>
    </row>
    <row r="52" spans="1:6" ht="15.75">
      <c r="A52" s="321" t="s">
        <v>378</v>
      </c>
      <c r="B52" s="322"/>
      <c r="C52" s="322"/>
      <c r="F52" s="323" t="s">
        <v>376</v>
      </c>
    </row>
    <row r="54" spans="1:8" ht="13.5">
      <c r="A54" s="314" t="str">
        <f>'Budget mensuel'!A13</f>
        <v>Composition du foyer</v>
      </c>
      <c r="B54" s="314"/>
      <c r="C54" s="338">
        <f>G54+G55+G56</f>
        <v>4</v>
      </c>
      <c r="D54" s="314" t="s">
        <v>27</v>
      </c>
      <c r="G54" s="325">
        <f>'Budget mensuel'!C14</f>
        <v>2</v>
      </c>
      <c r="H54" s="325" t="str">
        <f>'Budget mensuel'!D14</f>
        <v>adulte (s)</v>
      </c>
    </row>
    <row r="55" spans="1:8" ht="13.5">
      <c r="A55" s="314"/>
      <c r="B55" s="314"/>
      <c r="G55" s="325">
        <f>'Budget mensuel'!C15</f>
        <v>1</v>
      </c>
      <c r="H55" s="325" t="str">
        <f>'Budget mensuel'!D15</f>
        <v>enfant (s)</v>
      </c>
    </row>
    <row r="56" spans="1:8" ht="13.5">
      <c r="A56" s="314"/>
      <c r="B56" s="314"/>
      <c r="G56" s="325">
        <f>'Budget mensuel'!C16</f>
        <v>1</v>
      </c>
      <c r="H56" s="325" t="str">
        <f>'Budget mensuel'!D16</f>
        <v>adolescent (s)</v>
      </c>
    </row>
    <row r="57" spans="1:4" ht="13.5">
      <c r="A57" s="314" t="str">
        <f>'Budget mensuel'!A19</f>
        <v>Surface chauffée du logement</v>
      </c>
      <c r="B57" s="314"/>
      <c r="C57" s="338">
        <f>'Budget mensuel'!C19</f>
        <v>80</v>
      </c>
      <c r="D57" s="314" t="str">
        <f>'Budget mensuel'!D19</f>
        <v>m²</v>
      </c>
    </row>
    <row r="58" spans="1:4" ht="13.5">
      <c r="A58" s="314"/>
      <c r="B58" s="314"/>
      <c r="C58" s="314"/>
      <c r="D58" s="314"/>
    </row>
    <row r="59" spans="1:4" ht="13.5">
      <c r="A59" s="314"/>
      <c r="B59" s="314"/>
      <c r="C59" s="314"/>
      <c r="D59" s="314"/>
    </row>
    <row r="60" spans="1:4" ht="13.5">
      <c r="A60" s="314" t="str">
        <f>'Budget mensuel'!B25</f>
        <v>Chauffage</v>
      </c>
      <c r="B60" s="338" t="str">
        <f>'Budget mensuel'!C25</f>
        <v>Gaz de Réseau</v>
      </c>
      <c r="C60" s="314"/>
      <c r="D60" s="314"/>
    </row>
    <row r="61" spans="1:4" ht="13.5">
      <c r="A61" s="314" t="str">
        <f>'Budget mensuel'!B26</f>
        <v>Eau Chaude</v>
      </c>
      <c r="B61" s="338" t="str">
        <f>'Budget mensuel'!C26</f>
        <v>Gaz de Réseau</v>
      </c>
      <c r="C61" s="314"/>
      <c r="D61" s="314"/>
    </row>
    <row r="62" spans="1:4" ht="13.5">
      <c r="A62" s="314"/>
      <c r="B62" s="314"/>
      <c r="C62" s="314"/>
      <c r="D62" s="314"/>
    </row>
    <row r="63" spans="1:4" ht="13.5">
      <c r="A63" s="314"/>
      <c r="B63" s="314"/>
      <c r="C63" s="314"/>
      <c r="D63" s="314"/>
    </row>
    <row r="64" spans="1:4" ht="13.5">
      <c r="A64" s="314"/>
      <c r="B64" s="314"/>
      <c r="C64" s="314"/>
      <c r="D64" s="314"/>
    </row>
    <row r="65" spans="1:5" ht="13.5">
      <c r="A65" s="314" t="str">
        <f>'Budget mensuel'!A50</f>
        <v>Revenu total disponible du foyer</v>
      </c>
      <c r="B65" s="314"/>
      <c r="D65" s="339">
        <f>'Budget mensuel'!C50</f>
        <v>2100</v>
      </c>
      <c r="E65" s="314" t="str">
        <f>'Budget mensuel'!D50</f>
        <v>€ / mois</v>
      </c>
    </row>
    <row r="66" spans="1:4" ht="13.5">
      <c r="A66" s="314"/>
      <c r="B66" s="314"/>
      <c r="C66" s="314"/>
      <c r="D66" s="340"/>
    </row>
    <row r="67" spans="1:5" ht="13.5">
      <c r="A67" s="314" t="str">
        <f>'Budget mensuel'!B127</f>
        <v>Loyer + charges copro + assurances</v>
      </c>
      <c r="B67" s="314"/>
      <c r="C67" s="314"/>
      <c r="D67" s="339">
        <f>'Budget mensuel'!D127</f>
        <v>556.5996</v>
      </c>
      <c r="E67" s="324" t="str">
        <f>'Budget mensuel'!E127</f>
        <v>€ TTC / mois</v>
      </c>
    </row>
    <row r="68" spans="1:4" ht="13.5">
      <c r="A68" s="314"/>
      <c r="B68" s="314"/>
      <c r="C68" s="314"/>
      <c r="D68" s="340"/>
    </row>
    <row r="69" spans="1:5" ht="13.5">
      <c r="A69" s="314" t="str">
        <f>'Budget mensuel'!B132</f>
        <v>Energie + eau (hors charges copro)</v>
      </c>
      <c r="B69" s="314"/>
      <c r="C69" s="314"/>
      <c r="D69" s="339">
        <f>'Budget mensuel'!D132</f>
        <v>242.76209999999998</v>
      </c>
      <c r="E69" s="324" t="str">
        <f>'Budget mensuel'!E132</f>
        <v>€ TTC / mois</v>
      </c>
    </row>
    <row r="70" spans="1:4" ht="13.5">
      <c r="A70" s="314"/>
      <c r="B70" s="314"/>
      <c r="C70" s="314"/>
      <c r="D70" s="314"/>
    </row>
    <row r="71" spans="1:4" ht="13.5">
      <c r="A71" s="326" t="str">
        <f>'Budget mensuel'!A143</f>
        <v>Revenu restant disponible</v>
      </c>
      <c r="B71" s="326"/>
      <c r="C71" s="339">
        <f>'Budget mensuel'!D143</f>
        <v>81.6552356287998</v>
      </c>
      <c r="D71" s="327" t="str">
        <f>'Budget mensuel'!E143</f>
        <v>€ TTC / mois</v>
      </c>
    </row>
    <row r="75" spans="1:4" ht="15.75">
      <c r="A75" s="321" t="s">
        <v>395</v>
      </c>
      <c r="B75" s="322"/>
      <c r="C75" s="322"/>
      <c r="D75" s="315"/>
    </row>
    <row r="76" spans="1:6" ht="12.75">
      <c r="A76" s="1"/>
      <c r="B76" s="1"/>
      <c r="C76" s="1"/>
      <c r="D76" s="1"/>
      <c r="E76" s="1"/>
      <c r="F76" s="1"/>
    </row>
    <row r="77" spans="1:7" ht="12.75">
      <c r="A77" s="38" t="s">
        <v>392</v>
      </c>
      <c r="B77" s="1"/>
      <c r="C77" s="38" t="s">
        <v>393</v>
      </c>
      <c r="D77" s="1"/>
      <c r="E77" s="1"/>
      <c r="F77" s="1"/>
      <c r="G77" s="299"/>
    </row>
    <row r="78" spans="1:6" ht="12.75">
      <c r="A78" s="310" t="s">
        <v>349</v>
      </c>
      <c r="B78" s="1"/>
      <c r="C78" s="310" t="s">
        <v>356</v>
      </c>
      <c r="D78" s="1"/>
      <c r="E78" s="1"/>
      <c r="F78" s="1"/>
    </row>
    <row r="79" spans="1:6" ht="12.75">
      <c r="A79" s="1" t="s">
        <v>350</v>
      </c>
      <c r="B79" s="1"/>
      <c r="C79" s="1" t="s">
        <v>364</v>
      </c>
      <c r="D79" s="1"/>
      <c r="E79" s="1"/>
      <c r="F79" s="1"/>
    </row>
    <row r="80" spans="1:6" ht="12.75">
      <c r="A80" s="1" t="s">
        <v>351</v>
      </c>
      <c r="B80" s="1"/>
      <c r="C80" s="1" t="s">
        <v>362</v>
      </c>
      <c r="D80" s="1"/>
      <c r="E80" s="1"/>
      <c r="F80" s="1"/>
    </row>
    <row r="81" spans="1:6" ht="12.75">
      <c r="A81" s="1" t="s">
        <v>352</v>
      </c>
      <c r="B81" s="1"/>
      <c r="C81" s="310" t="s">
        <v>357</v>
      </c>
      <c r="D81" s="1"/>
      <c r="E81" s="1"/>
      <c r="F81" s="1"/>
    </row>
    <row r="82" spans="1:6" ht="12.75">
      <c r="A82" s="1" t="s">
        <v>353</v>
      </c>
      <c r="B82" s="1"/>
      <c r="C82" s="1" t="s">
        <v>358</v>
      </c>
      <c r="D82" s="1"/>
      <c r="E82" s="1"/>
      <c r="F82" s="1"/>
    </row>
    <row r="83" spans="1:6" ht="12.75">
      <c r="A83" s="1"/>
      <c r="B83" s="1"/>
      <c r="C83" s="1" t="s">
        <v>359</v>
      </c>
      <c r="D83" s="1"/>
      <c r="E83" s="1"/>
      <c r="F83" s="1"/>
    </row>
    <row r="84" spans="1:6" ht="12.75">
      <c r="A84" s="1"/>
      <c r="B84" s="1"/>
      <c r="C84" s="310" t="s">
        <v>360</v>
      </c>
      <c r="D84" s="1"/>
      <c r="E84" s="1"/>
      <c r="F84" s="1"/>
    </row>
    <row r="85" spans="1:6" ht="12.75">
      <c r="A85" s="1"/>
      <c r="B85" s="1"/>
      <c r="C85" s="1" t="s">
        <v>361</v>
      </c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38" t="s">
        <v>394</v>
      </c>
      <c r="B87" s="1"/>
      <c r="C87" s="38" t="s">
        <v>390</v>
      </c>
      <c r="D87" s="1"/>
      <c r="E87" s="38" t="s">
        <v>365</v>
      </c>
      <c r="F87" s="1"/>
    </row>
    <row r="88" spans="1:6" ht="12.75">
      <c r="A88" s="310" t="s">
        <v>327</v>
      </c>
      <c r="B88" s="1"/>
      <c r="C88" s="1" t="s">
        <v>285</v>
      </c>
      <c r="D88" s="1"/>
      <c r="E88" s="310" t="s">
        <v>293</v>
      </c>
      <c r="F88" s="1"/>
    </row>
    <row r="89" spans="1:9" ht="12.75">
      <c r="A89" s="1" t="s">
        <v>328</v>
      </c>
      <c r="B89" s="1"/>
      <c r="C89" s="1" t="s">
        <v>286</v>
      </c>
      <c r="D89" s="1"/>
      <c r="E89" s="310" t="s">
        <v>324</v>
      </c>
      <c r="F89" s="1"/>
      <c r="I89" s="300"/>
    </row>
    <row r="90" spans="1:9" ht="12.75">
      <c r="A90" s="1" t="s">
        <v>329</v>
      </c>
      <c r="B90" s="1"/>
      <c r="C90" s="1" t="s">
        <v>278</v>
      </c>
      <c r="D90" s="1"/>
      <c r="E90" s="310" t="s">
        <v>323</v>
      </c>
      <c r="F90" s="1"/>
      <c r="I90" s="300"/>
    </row>
    <row r="91" spans="1:9" ht="12.75">
      <c r="A91" s="1"/>
      <c r="B91" s="1"/>
      <c r="C91" s="1"/>
      <c r="D91" s="1"/>
      <c r="E91" s="1"/>
      <c r="F91" s="1"/>
      <c r="I91" s="300"/>
    </row>
    <row r="92" spans="1:6" ht="12.75">
      <c r="A92" s="38" t="s">
        <v>366</v>
      </c>
      <c r="B92" s="1"/>
      <c r="C92" s="38" t="s">
        <v>367</v>
      </c>
      <c r="D92" s="1"/>
      <c r="E92" s="38" t="s">
        <v>368</v>
      </c>
      <c r="F92" s="1"/>
    </row>
    <row r="93" spans="1:6" ht="12.75">
      <c r="A93" s="1" t="s">
        <v>325</v>
      </c>
      <c r="B93" s="1"/>
      <c r="C93" s="1" t="s">
        <v>295</v>
      </c>
      <c r="D93" s="1"/>
      <c r="E93" s="1" t="s">
        <v>330</v>
      </c>
      <c r="F93" s="1"/>
    </row>
    <row r="94" spans="1:11" ht="12.75">
      <c r="A94" s="1" t="s">
        <v>326</v>
      </c>
      <c r="B94" s="1"/>
      <c r="C94" s="1" t="s">
        <v>292</v>
      </c>
      <c r="D94" s="1"/>
      <c r="E94" s="1" t="s">
        <v>331</v>
      </c>
      <c r="F94" s="1"/>
      <c r="K94" s="299"/>
    </row>
    <row r="95" spans="1:6" ht="12.75">
      <c r="A95" s="1" t="s">
        <v>294</v>
      </c>
      <c r="B95" s="1"/>
      <c r="C95" s="1" t="s">
        <v>296</v>
      </c>
      <c r="D95" s="1"/>
      <c r="E95" s="1" t="s">
        <v>332</v>
      </c>
      <c r="F95" s="1"/>
    </row>
    <row r="96" spans="1:6" ht="12.75">
      <c r="A96" s="1"/>
      <c r="B96" s="1"/>
      <c r="C96" s="1"/>
      <c r="D96" s="1"/>
      <c r="E96" s="1" t="s">
        <v>333</v>
      </c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38" t="s">
        <v>369</v>
      </c>
      <c r="B98" s="1"/>
      <c r="C98" s="38" t="s">
        <v>370</v>
      </c>
      <c r="D98" s="1"/>
      <c r="E98" s="38" t="s">
        <v>391</v>
      </c>
      <c r="F98" s="1"/>
    </row>
    <row r="99" spans="1:6" ht="12.75">
      <c r="A99" s="1" t="s">
        <v>343</v>
      </c>
      <c r="B99" s="1"/>
      <c r="C99" s="310" t="s">
        <v>206</v>
      </c>
      <c r="D99" s="1"/>
      <c r="E99" s="310" t="s">
        <v>339</v>
      </c>
      <c r="F99" s="1"/>
    </row>
    <row r="100" spans="1:6" ht="12.75">
      <c r="A100" s="1" t="s">
        <v>334</v>
      </c>
      <c r="B100" s="1"/>
      <c r="C100" s="310" t="s">
        <v>207</v>
      </c>
      <c r="D100" s="1"/>
      <c r="E100" s="310" t="s">
        <v>340</v>
      </c>
      <c r="F100" s="1"/>
    </row>
    <row r="101" spans="1:6" ht="12.75">
      <c r="A101" s="1" t="s">
        <v>335</v>
      </c>
      <c r="B101" s="1"/>
      <c r="C101" s="310" t="s">
        <v>342</v>
      </c>
      <c r="D101" s="1"/>
      <c r="E101" s="310" t="s">
        <v>341</v>
      </c>
      <c r="F101" s="1"/>
    </row>
    <row r="102" spans="1:6" ht="12.75">
      <c r="A102" s="1" t="s">
        <v>336</v>
      </c>
      <c r="B102" s="1"/>
      <c r="C102" s="1" t="s">
        <v>344</v>
      </c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</sheetData>
  <sheetProtection/>
  <mergeCells count="1">
    <mergeCell ref="A1:F1"/>
  </mergeCells>
  <dataValidations count="11">
    <dataValidation type="list" allowBlank="1" showInputMessage="1" showErrorMessage="1" sqref="D21">
      <formula1>Commune</formula1>
    </dataValidation>
    <dataValidation type="list" allowBlank="1" showInputMessage="1" showErrorMessage="1" sqref="D24">
      <formula1>_Lgt1</formula1>
    </dataValidation>
    <dataValidation type="list" allowBlank="1" showInputMessage="1" showErrorMessage="1" sqref="D26">
      <formula1>_Lgt2</formula1>
    </dataValidation>
    <dataValidation type="list" allowBlank="1" showInputMessage="1" showErrorMessage="1" sqref="D25">
      <formula1>_Lgt3</formula1>
    </dataValidation>
    <dataValidation type="list" allowBlank="1" showInputMessage="1" showErrorMessage="1" sqref="B10">
      <formula1>Statistiques!$A$78:$A$82</formula1>
    </dataValidation>
    <dataValidation type="list" allowBlank="1" showInputMessage="1" showErrorMessage="1" sqref="D16">
      <formula1>Statistiques!$C$78:$C$85</formula1>
    </dataValidation>
    <dataValidation type="list" allowBlank="1" showInputMessage="1" showErrorMessage="1" sqref="D18">
      <formula1>Statistiques!$A$88:$A$90</formula1>
    </dataValidation>
    <dataValidation type="list" allowBlank="1" showInputMessage="1" showErrorMessage="1" sqref="D28">
      <formula1>Statistiques!$E$93:$E$96</formula1>
    </dataValidation>
    <dataValidation type="list" allowBlank="1" showInputMessage="1" showErrorMessage="1" sqref="D27">
      <formula1>Statistiques!$A$99:$A$102</formula1>
    </dataValidation>
    <dataValidation type="list" allowBlank="1" showInputMessage="1" showErrorMessage="1" sqref="D29">
      <formula1>Statistiques!$C$99:$C$102</formula1>
    </dataValidation>
    <dataValidation type="list" allowBlank="1" showInputMessage="1" showErrorMessage="1" sqref="D30">
      <formula1>Statistiques!$E$99:$E$101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9"/>
  <sheetViews>
    <sheetView tabSelected="1" zoomScaleSheetLayoutView="85" workbookViewId="0" topLeftCell="A1">
      <selection activeCell="A2" sqref="A2"/>
    </sheetView>
  </sheetViews>
  <sheetFormatPr defaultColWidth="11.00390625" defaultRowHeight="12.75"/>
  <cols>
    <col min="1" max="1" width="18.75390625" style="45" customWidth="1"/>
    <col min="2" max="2" width="18.25390625" style="45" customWidth="1"/>
    <col min="3" max="3" width="19.00390625" style="45" customWidth="1"/>
    <col min="4" max="4" width="11.375" style="45" customWidth="1"/>
    <col min="5" max="6" width="10.25390625" style="45" customWidth="1"/>
    <col min="7" max="7" width="7.875" style="45" customWidth="1"/>
    <col min="8" max="8" width="20.75390625" style="45" hidden="1" customWidth="1"/>
    <col min="9" max="16384" width="11.00390625" style="45" customWidth="1"/>
  </cols>
  <sheetData>
    <row r="1" spans="1:6" ht="42" customHeight="1" thickBot="1">
      <c r="A1" s="350" t="s">
        <v>308</v>
      </c>
      <c r="B1" s="351"/>
      <c r="C1" s="351"/>
      <c r="D1" s="351"/>
      <c r="E1" s="351"/>
      <c r="F1" s="352"/>
    </row>
    <row r="2" ht="12.75"/>
    <row r="3" ht="12.75"/>
    <row r="4" ht="12.75"/>
    <row r="5" spans="1:4" ht="12.75">
      <c r="A5" s="46" t="s">
        <v>44</v>
      </c>
      <c r="B5" s="46"/>
      <c r="C5" s="332" t="s">
        <v>0</v>
      </c>
      <c r="D5" s="332"/>
    </row>
    <row r="6" spans="1:4" ht="12.75">
      <c r="A6" s="46" t="s">
        <v>322</v>
      </c>
      <c r="B6" s="46"/>
      <c r="C6" s="47" t="s">
        <v>321</v>
      </c>
      <c r="D6" s="47"/>
    </row>
    <row r="7" spans="1:4" ht="12.75">
      <c r="A7" s="46" t="s">
        <v>2</v>
      </c>
      <c r="B7" s="48"/>
      <c r="C7" s="338" t="s">
        <v>1</v>
      </c>
      <c r="D7" s="49"/>
    </row>
    <row r="8" spans="1:4" ht="12.75">
      <c r="A8" s="46"/>
      <c r="B8" s="48"/>
      <c r="C8" s="48"/>
      <c r="D8" s="48"/>
    </row>
    <row r="9" spans="1:4" ht="12.75">
      <c r="A9" s="46"/>
      <c r="B9" s="48"/>
      <c r="C9" s="48"/>
      <c r="D9" s="48"/>
    </row>
    <row r="10" spans="1:3" ht="12.75">
      <c r="A10" s="46"/>
      <c r="B10" s="46"/>
      <c r="C10" s="48"/>
    </row>
    <row r="11" spans="1:6" ht="15">
      <c r="A11" s="289" t="s">
        <v>243</v>
      </c>
      <c r="B11" s="290"/>
      <c r="C11" s="290"/>
      <c r="D11" s="290"/>
      <c r="E11" s="290"/>
      <c r="F11" s="290"/>
    </row>
    <row r="12" ht="12.75"/>
    <row r="13" ht="15">
      <c r="A13" s="50" t="s">
        <v>75</v>
      </c>
    </row>
    <row r="14" spans="1:9" ht="15">
      <c r="A14" s="51" t="s">
        <v>17</v>
      </c>
      <c r="B14" s="52"/>
      <c r="C14" s="330">
        <v>2</v>
      </c>
      <c r="D14" s="54" t="s">
        <v>67</v>
      </c>
      <c r="H14" s="55" t="s">
        <v>38</v>
      </c>
      <c r="I14" s="56"/>
    </row>
    <row r="15" spans="1:9" ht="15">
      <c r="A15" s="51"/>
      <c r="B15" s="52"/>
      <c r="C15" s="330">
        <v>1</v>
      </c>
      <c r="D15" s="54" t="s">
        <v>68</v>
      </c>
      <c r="F15" s="313" t="s">
        <v>346</v>
      </c>
      <c r="H15" s="48" t="s">
        <v>20</v>
      </c>
      <c r="I15" s="57"/>
    </row>
    <row r="16" spans="1:9" ht="15">
      <c r="A16" s="51"/>
      <c r="B16" s="52"/>
      <c r="C16" s="330">
        <v>1</v>
      </c>
      <c r="D16" s="54" t="s">
        <v>69</v>
      </c>
      <c r="F16" s="313" t="s">
        <v>345</v>
      </c>
      <c r="H16" s="58" t="s">
        <v>30</v>
      </c>
      <c r="I16" s="59"/>
    </row>
    <row r="17" spans="8:9" ht="10.5" customHeight="1">
      <c r="H17" s="58" t="s">
        <v>29</v>
      </c>
      <c r="I17" s="59"/>
    </row>
    <row r="18" spans="1:9" ht="15">
      <c r="A18" s="50" t="s">
        <v>15</v>
      </c>
      <c r="B18" s="60"/>
      <c r="C18" s="60"/>
      <c r="D18" s="61"/>
      <c r="H18" s="58" t="s">
        <v>33</v>
      </c>
      <c r="I18" s="59"/>
    </row>
    <row r="19" spans="1:9" ht="15">
      <c r="A19" s="62" t="s">
        <v>16</v>
      </c>
      <c r="B19" s="60"/>
      <c r="C19" s="331">
        <v>80</v>
      </c>
      <c r="D19" s="63" t="s">
        <v>25</v>
      </c>
      <c r="H19" s="58" t="s">
        <v>32</v>
      </c>
      <c r="I19" s="57"/>
    </row>
    <row r="20" spans="1:9" ht="9.75" customHeight="1">
      <c r="A20" s="62"/>
      <c r="B20" s="60"/>
      <c r="C20" s="63"/>
      <c r="D20" s="63"/>
      <c r="H20" s="58" t="s">
        <v>35</v>
      </c>
      <c r="I20" s="59"/>
    </row>
    <row r="21" spans="1:9" ht="15">
      <c r="A21" s="51" t="s">
        <v>49</v>
      </c>
      <c r="B21" s="52"/>
      <c r="C21" s="45" t="s">
        <v>76</v>
      </c>
      <c r="D21" s="330">
        <v>160</v>
      </c>
      <c r="E21" s="54" t="s">
        <v>26</v>
      </c>
      <c r="H21" s="58" t="s">
        <v>31</v>
      </c>
      <c r="I21" s="59"/>
    </row>
    <row r="22" spans="3:9" ht="12.75">
      <c r="C22" s="64" t="s">
        <v>77</v>
      </c>
      <c r="D22" s="65" t="s">
        <v>48</v>
      </c>
      <c r="H22" s="58" t="s">
        <v>34</v>
      </c>
      <c r="I22" s="59"/>
    </row>
    <row r="23" spans="1:9" ht="15">
      <c r="A23" s="65"/>
      <c r="B23" s="52"/>
      <c r="C23" s="45" t="s">
        <v>73</v>
      </c>
      <c r="D23" s="330"/>
      <c r="E23" s="54" t="s">
        <v>26</v>
      </c>
      <c r="H23" s="58" t="s">
        <v>36</v>
      </c>
      <c r="I23" s="59"/>
    </row>
    <row r="24" spans="4:9" ht="9.75" customHeight="1">
      <c r="D24" s="66"/>
      <c r="H24" s="45" t="s">
        <v>304</v>
      </c>
      <c r="I24" s="59"/>
    </row>
    <row r="25" spans="1:9" ht="12.75">
      <c r="A25" s="51" t="s">
        <v>19</v>
      </c>
      <c r="B25" s="67" t="s">
        <v>20</v>
      </c>
      <c r="C25" s="329" t="s">
        <v>34</v>
      </c>
      <c r="H25" s="58" t="s">
        <v>37</v>
      </c>
      <c r="I25" s="59"/>
    </row>
    <row r="26" spans="1:9" ht="12.75">
      <c r="A26" s="51"/>
      <c r="B26" s="67" t="s">
        <v>21</v>
      </c>
      <c r="C26" s="329" t="s">
        <v>34</v>
      </c>
      <c r="H26" s="58" t="s">
        <v>28</v>
      </c>
      <c r="I26" s="57"/>
    </row>
    <row r="27" spans="1:9" ht="15">
      <c r="A27" s="68"/>
      <c r="B27" s="67" t="s">
        <v>22</v>
      </c>
      <c r="C27" s="329" t="s">
        <v>35</v>
      </c>
      <c r="H27" s="48"/>
      <c r="I27" s="59"/>
    </row>
    <row r="28" spans="1:9" ht="15">
      <c r="A28" s="68"/>
      <c r="B28" s="67" t="s">
        <v>275</v>
      </c>
      <c r="C28" s="329" t="s">
        <v>272</v>
      </c>
      <c r="H28" s="55" t="s">
        <v>38</v>
      </c>
      <c r="I28" s="59"/>
    </row>
    <row r="29" spans="1:9" ht="15">
      <c r="A29" s="68"/>
      <c r="B29" s="67"/>
      <c r="H29" s="55"/>
      <c r="I29" s="59"/>
    </row>
    <row r="30" spans="1:9" ht="15">
      <c r="A30" s="68"/>
      <c r="B30" s="67" t="s">
        <v>42</v>
      </c>
      <c r="C30" s="329" t="s">
        <v>397</v>
      </c>
      <c r="H30" s="55"/>
      <c r="I30" s="59"/>
    </row>
    <row r="31" spans="1:9" ht="15">
      <c r="A31" s="68"/>
      <c r="B31" s="67"/>
      <c r="H31" s="55"/>
      <c r="I31" s="59"/>
    </row>
    <row r="32" spans="1:9" ht="15">
      <c r="A32" s="68"/>
      <c r="B32" s="67"/>
      <c r="H32" s="55"/>
      <c r="I32" s="59"/>
    </row>
    <row r="33" spans="1:9" ht="15">
      <c r="A33" s="68"/>
      <c r="B33" s="67"/>
      <c r="H33" s="55"/>
      <c r="I33" s="59"/>
    </row>
    <row r="34" spans="1:9" ht="15">
      <c r="A34" s="289" t="s">
        <v>244</v>
      </c>
      <c r="B34" s="290"/>
      <c r="C34" s="290"/>
      <c r="D34" s="290"/>
      <c r="E34" s="290"/>
      <c r="F34" s="290"/>
      <c r="H34" s="55"/>
      <c r="I34" s="59"/>
    </row>
    <row r="35" spans="8:9" ht="12.75">
      <c r="H35" s="55"/>
      <c r="I35" s="59"/>
    </row>
    <row r="36" spans="1:9" ht="12.75">
      <c r="A36" s="48" t="s">
        <v>309</v>
      </c>
      <c r="C36" s="328">
        <v>1800</v>
      </c>
      <c r="D36" s="54" t="s">
        <v>80</v>
      </c>
      <c r="H36" s="55"/>
      <c r="I36" s="59"/>
    </row>
    <row r="37" spans="1:9" ht="12.75">
      <c r="A37" s="293" t="s">
        <v>301</v>
      </c>
      <c r="C37" s="54"/>
      <c r="D37" s="54"/>
      <c r="H37" s="55"/>
      <c r="I37" s="59"/>
    </row>
    <row r="38" spans="1:9" ht="12.75">
      <c r="A38" s="72"/>
      <c r="C38" s="54"/>
      <c r="D38" s="54"/>
      <c r="H38" s="55"/>
      <c r="I38" s="59"/>
    </row>
    <row r="39" spans="1:9" ht="12.75">
      <c r="A39" s="48" t="s">
        <v>264</v>
      </c>
      <c r="C39" s="90">
        <v>0</v>
      </c>
      <c r="D39" s="54" t="s">
        <v>80</v>
      </c>
      <c r="H39" s="55"/>
      <c r="I39" s="59"/>
    </row>
    <row r="40" spans="1:9" ht="12.75">
      <c r="A40" s="69"/>
      <c r="C40" s="54"/>
      <c r="D40" s="54"/>
      <c r="H40" s="55"/>
      <c r="I40" s="59"/>
    </row>
    <row r="41" spans="1:9" ht="12.75">
      <c r="A41" s="69" t="s">
        <v>197</v>
      </c>
      <c r="C41" s="90">
        <v>0</v>
      </c>
      <c r="D41" s="54" t="s">
        <v>80</v>
      </c>
      <c r="H41" s="55"/>
      <c r="I41" s="59"/>
    </row>
    <row r="42" spans="1:9" ht="12.75">
      <c r="A42" s="69"/>
      <c r="C42" s="54"/>
      <c r="D42" s="54"/>
      <c r="H42" s="55"/>
      <c r="I42" s="59"/>
    </row>
    <row r="43" spans="1:9" ht="12.75">
      <c r="A43" s="69" t="s">
        <v>198</v>
      </c>
      <c r="C43" s="90">
        <v>0</v>
      </c>
      <c r="D43" s="54" t="s">
        <v>80</v>
      </c>
      <c r="H43" s="55"/>
      <c r="I43" s="59"/>
    </row>
    <row r="44" spans="1:9" ht="12.75">
      <c r="A44" s="69"/>
      <c r="C44" s="54"/>
      <c r="D44" s="54"/>
      <c r="H44" s="55"/>
      <c r="I44" s="59"/>
    </row>
    <row r="45" spans="1:9" ht="12.75">
      <c r="A45" s="69" t="s">
        <v>196</v>
      </c>
      <c r="C45" s="90"/>
      <c r="D45" s="54" t="s">
        <v>80</v>
      </c>
      <c r="H45" s="55"/>
      <c r="I45" s="59"/>
    </row>
    <row r="46" spans="1:9" ht="12.75">
      <c r="A46" s="69"/>
      <c r="C46" s="54"/>
      <c r="D46" s="54"/>
      <c r="H46" s="55"/>
      <c r="I46" s="59"/>
    </row>
    <row r="47" spans="1:9" ht="12.75">
      <c r="A47" s="48" t="s">
        <v>270</v>
      </c>
      <c r="C47" s="90">
        <v>300</v>
      </c>
      <c r="D47" s="54" t="s">
        <v>80</v>
      </c>
      <c r="H47" s="55"/>
      <c r="I47" s="59"/>
    </row>
    <row r="48" spans="1:9" ht="12.75">
      <c r="A48" s="48"/>
      <c r="C48" s="54"/>
      <c r="D48" s="54"/>
      <c r="H48" s="55"/>
      <c r="I48" s="59"/>
    </row>
    <row r="49" spans="1:9" ht="15">
      <c r="A49" s="50"/>
      <c r="C49" s="54"/>
      <c r="D49" s="54"/>
      <c r="H49" s="55"/>
      <c r="I49" s="59"/>
    </row>
    <row r="50" spans="1:9" ht="15">
      <c r="A50" s="91" t="s">
        <v>201</v>
      </c>
      <c r="B50" s="92"/>
      <c r="C50" s="230">
        <f>SUM(C36:C47)</f>
        <v>2100</v>
      </c>
      <c r="D50" s="95" t="s">
        <v>80</v>
      </c>
      <c r="H50" s="55"/>
      <c r="I50" s="59"/>
    </row>
    <row r="51" spans="1:9" ht="15">
      <c r="A51" s="68"/>
      <c r="B51" s="67"/>
      <c r="H51" s="55"/>
      <c r="I51" s="59"/>
    </row>
    <row r="52" spans="1:9" ht="15">
      <c r="A52" s="68"/>
      <c r="B52" s="67"/>
      <c r="H52" s="55"/>
      <c r="I52" s="59"/>
    </row>
    <row r="53" spans="1:9" ht="15">
      <c r="A53" s="68"/>
      <c r="B53" s="67"/>
      <c r="H53" s="55"/>
      <c r="I53" s="59"/>
    </row>
    <row r="54" spans="1:9" ht="15">
      <c r="A54" s="68"/>
      <c r="B54" s="67"/>
      <c r="H54" s="55"/>
      <c r="I54" s="59"/>
    </row>
    <row r="55" spans="1:9" ht="15">
      <c r="A55" s="68"/>
      <c r="B55" s="67"/>
      <c r="H55" s="55"/>
      <c r="I55" s="59"/>
    </row>
    <row r="56" spans="1:9" ht="15">
      <c r="A56" s="68"/>
      <c r="B56" s="67"/>
      <c r="H56" s="55"/>
      <c r="I56" s="59"/>
    </row>
    <row r="57" spans="1:9" ht="15">
      <c r="A57" s="68"/>
      <c r="B57" s="67"/>
      <c r="H57" s="55"/>
      <c r="I57" s="59"/>
    </row>
    <row r="58" spans="1:9" ht="15">
      <c r="A58" s="68"/>
      <c r="B58" s="67"/>
      <c r="H58" s="55"/>
      <c r="I58" s="59"/>
    </row>
    <row r="59" spans="1:9" ht="15">
      <c r="A59" s="68"/>
      <c r="B59" s="67"/>
      <c r="H59" s="55"/>
      <c r="I59" s="59"/>
    </row>
    <row r="60" spans="1:9" ht="15">
      <c r="A60" s="289" t="s">
        <v>245</v>
      </c>
      <c r="B60" s="290"/>
      <c r="C60" s="290"/>
      <c r="D60" s="290"/>
      <c r="E60" s="290"/>
      <c r="F60" s="290"/>
      <c r="H60" s="55"/>
      <c r="I60" s="59"/>
    </row>
    <row r="61" spans="8:9" ht="12.75">
      <c r="H61" s="55"/>
      <c r="I61" s="59"/>
    </row>
    <row r="62" spans="1:9" ht="15">
      <c r="A62" s="50" t="s">
        <v>61</v>
      </c>
      <c r="H62" s="55"/>
      <c r="I62" s="59"/>
    </row>
    <row r="63" spans="1:9" ht="12.75">
      <c r="A63" s="69" t="s">
        <v>176</v>
      </c>
      <c r="C63" s="53">
        <v>0</v>
      </c>
      <c r="D63" s="67" t="s">
        <v>80</v>
      </c>
      <c r="H63" s="55"/>
      <c r="I63" s="59"/>
    </row>
    <row r="64" spans="1:9" ht="15">
      <c r="A64" s="50"/>
      <c r="H64" s="55"/>
      <c r="I64" s="59"/>
    </row>
    <row r="65" spans="1:9" ht="12.75">
      <c r="A65" s="69" t="s">
        <v>195</v>
      </c>
      <c r="C65" s="53">
        <v>60</v>
      </c>
      <c r="D65" s="67" t="s">
        <v>80</v>
      </c>
      <c r="H65" s="55"/>
      <c r="I65" s="59"/>
    </row>
    <row r="66" spans="1:9" ht="12.75">
      <c r="A66" s="69" t="s">
        <v>224</v>
      </c>
      <c r="C66" s="53">
        <v>70</v>
      </c>
      <c r="D66" s="67" t="s">
        <v>80</v>
      </c>
      <c r="H66" s="55"/>
      <c r="I66" s="59"/>
    </row>
    <row r="67" spans="1:9" ht="15">
      <c r="A67" s="50"/>
      <c r="H67" s="55"/>
      <c r="I67" s="59"/>
    </row>
    <row r="68" spans="1:9" ht="12.75">
      <c r="A68" s="69" t="s">
        <v>223</v>
      </c>
      <c r="C68" s="328">
        <v>500</v>
      </c>
      <c r="D68" s="67" t="s">
        <v>80</v>
      </c>
      <c r="H68" s="55"/>
      <c r="I68" s="59"/>
    </row>
    <row r="69" spans="1:9" ht="12.75">
      <c r="A69" s="69" t="s">
        <v>199</v>
      </c>
      <c r="C69" s="53"/>
      <c r="D69" s="67" t="s">
        <v>80</v>
      </c>
      <c r="H69" s="55"/>
      <c r="I69" s="59"/>
    </row>
    <row r="70" spans="1:9" ht="12.75">
      <c r="A70" s="70"/>
      <c r="B70" s="304" t="s">
        <v>302</v>
      </c>
      <c r="C70" s="69" t="s">
        <v>202</v>
      </c>
      <c r="D70" s="71" t="s">
        <v>207</v>
      </c>
      <c r="H70" s="55"/>
      <c r="I70" s="59"/>
    </row>
    <row r="71" spans="1:9" ht="12.75">
      <c r="A71" s="69"/>
      <c r="C71" s="69" t="s">
        <v>203</v>
      </c>
      <c r="D71" s="71" t="s">
        <v>207</v>
      </c>
      <c r="H71" s="55"/>
      <c r="I71" s="59"/>
    </row>
    <row r="72" spans="1:9" ht="12.75">
      <c r="A72" s="69"/>
      <c r="C72" s="69" t="s">
        <v>204</v>
      </c>
      <c r="D72" s="71" t="s">
        <v>207</v>
      </c>
      <c r="H72" s="55"/>
      <c r="I72" s="59"/>
    </row>
    <row r="73" spans="1:9" ht="12.75">
      <c r="A73" s="69"/>
      <c r="C73" s="67"/>
      <c r="D73" s="67"/>
      <c r="H73" s="55"/>
      <c r="I73" s="59"/>
    </row>
    <row r="74" spans="1:9" ht="12.75">
      <c r="A74" s="48" t="s">
        <v>400</v>
      </c>
      <c r="C74" s="53">
        <v>80</v>
      </c>
      <c r="D74" s="67" t="s">
        <v>80</v>
      </c>
      <c r="H74" s="55"/>
      <c r="I74" s="59"/>
    </row>
    <row r="75" spans="1:9" ht="12.75">
      <c r="A75" s="48" t="s">
        <v>268</v>
      </c>
      <c r="C75" s="53"/>
      <c r="D75" s="67" t="s">
        <v>80</v>
      </c>
      <c r="H75" s="55"/>
      <c r="I75" s="59"/>
    </row>
    <row r="76" spans="1:9" ht="12.75">
      <c r="A76" s="48" t="s">
        <v>401</v>
      </c>
      <c r="C76" s="53"/>
      <c r="D76" s="67" t="s">
        <v>80</v>
      </c>
      <c r="H76" s="55"/>
      <c r="I76" s="59"/>
    </row>
    <row r="77" spans="1:9" ht="12.75">
      <c r="A77" s="69" t="s">
        <v>247</v>
      </c>
      <c r="C77" s="53"/>
      <c r="D77" s="67" t="s">
        <v>80</v>
      </c>
      <c r="H77" s="55"/>
      <c r="I77" s="59"/>
    </row>
    <row r="78" spans="1:9" ht="12.75">
      <c r="A78" s="69" t="s">
        <v>248</v>
      </c>
      <c r="C78" s="53"/>
      <c r="D78" s="67" t="s">
        <v>80</v>
      </c>
      <c r="H78" s="55"/>
      <c r="I78" s="59"/>
    </row>
    <row r="79" spans="1:9" ht="12.75">
      <c r="A79" s="69" t="s">
        <v>220</v>
      </c>
      <c r="C79" s="53"/>
      <c r="D79" s="67" t="s">
        <v>80</v>
      </c>
      <c r="H79" s="55"/>
      <c r="I79" s="59"/>
    </row>
    <row r="80" spans="1:9" ht="12.75">
      <c r="A80" s="69" t="s">
        <v>221</v>
      </c>
      <c r="C80" s="53"/>
      <c r="D80" s="67" t="s">
        <v>80</v>
      </c>
      <c r="H80" s="55"/>
      <c r="I80" s="59"/>
    </row>
    <row r="81" spans="8:9" ht="12.75">
      <c r="H81" s="55"/>
      <c r="I81" s="59"/>
    </row>
    <row r="82" spans="8:9" ht="12.75">
      <c r="H82" s="55"/>
      <c r="I82" s="59"/>
    </row>
    <row r="83" spans="1:9" ht="15">
      <c r="A83" s="136" t="s">
        <v>242</v>
      </c>
      <c r="C83" s="67"/>
      <c r="D83" s="67"/>
      <c r="H83" s="55"/>
      <c r="I83" s="59"/>
    </row>
    <row r="84" spans="1:9" ht="12.75">
      <c r="A84" s="69" t="s">
        <v>177</v>
      </c>
      <c r="C84" s="328">
        <v>40</v>
      </c>
      <c r="D84" s="67" t="s">
        <v>80</v>
      </c>
      <c r="H84" s="55"/>
      <c r="I84" s="59"/>
    </row>
    <row r="85" spans="1:9" ht="12.75">
      <c r="A85" s="72" t="s">
        <v>178</v>
      </c>
      <c r="E85" s="72"/>
      <c r="H85" s="55"/>
      <c r="I85" s="59"/>
    </row>
    <row r="86" spans="1:9" ht="12.75">
      <c r="A86" s="69"/>
      <c r="B86" s="73"/>
      <c r="H86" s="55"/>
      <c r="I86" s="59"/>
    </row>
    <row r="87" spans="1:9" ht="12.75">
      <c r="A87" s="74"/>
      <c r="B87" s="75"/>
      <c r="C87" s="76" t="s">
        <v>193</v>
      </c>
      <c r="D87" s="77" t="s">
        <v>194</v>
      </c>
      <c r="E87" s="78"/>
      <c r="H87" s="55"/>
      <c r="I87" s="59"/>
    </row>
    <row r="88" spans="1:9" ht="12.75">
      <c r="A88" s="79" t="s">
        <v>216</v>
      </c>
      <c r="B88" s="73"/>
      <c r="C88" s="333">
        <v>20</v>
      </c>
      <c r="D88" s="80">
        <v>10</v>
      </c>
      <c r="E88" s="81"/>
      <c r="H88" s="55"/>
      <c r="I88" s="59"/>
    </row>
    <row r="89" spans="1:9" ht="12.75">
      <c r="A89" s="79" t="s">
        <v>217</v>
      </c>
      <c r="B89" s="73"/>
      <c r="C89" s="333">
        <v>5</v>
      </c>
      <c r="D89" s="80">
        <v>5</v>
      </c>
      <c r="E89" s="81"/>
      <c r="H89" s="55"/>
      <c r="I89" s="59"/>
    </row>
    <row r="90" spans="1:9" ht="12.75">
      <c r="A90" s="79" t="s">
        <v>218</v>
      </c>
      <c r="B90" s="73"/>
      <c r="C90" s="334" t="s">
        <v>219</v>
      </c>
      <c r="D90" s="82"/>
      <c r="E90" s="83"/>
      <c r="H90" s="55"/>
      <c r="I90" s="59"/>
    </row>
    <row r="91" spans="1:9" ht="12.75">
      <c r="A91" s="84"/>
      <c r="B91" s="85"/>
      <c r="C91" s="86"/>
      <c r="D91" s="87" t="s">
        <v>150</v>
      </c>
      <c r="E91" s="86"/>
      <c r="H91" s="55"/>
      <c r="I91" s="59"/>
    </row>
    <row r="92" spans="2:9" ht="12.75">
      <c r="B92" s="73"/>
      <c r="H92" s="55"/>
      <c r="I92" s="59"/>
    </row>
    <row r="93" spans="1:9" ht="12.75">
      <c r="A93" s="48" t="s">
        <v>267</v>
      </c>
      <c r="C93" s="88">
        <v>10000</v>
      </c>
      <c r="D93" s="89" t="s">
        <v>158</v>
      </c>
      <c r="H93" s="55"/>
      <c r="I93" s="59"/>
    </row>
    <row r="94" spans="1:9" ht="12.75">
      <c r="A94" s="69" t="s">
        <v>160</v>
      </c>
      <c r="C94" s="71" t="s">
        <v>150</v>
      </c>
      <c r="D94" s="53"/>
      <c r="H94" s="55"/>
      <c r="I94" s="59"/>
    </row>
    <row r="95" spans="1:9" ht="12.75">
      <c r="A95" s="69"/>
      <c r="H95" s="55"/>
      <c r="I95" s="59"/>
    </row>
    <row r="96" spans="8:9" ht="12.75">
      <c r="H96" s="55"/>
      <c r="I96" s="59"/>
    </row>
    <row r="97" spans="1:9" ht="15.75">
      <c r="A97" s="136" t="s">
        <v>246</v>
      </c>
      <c r="B97" s="67"/>
      <c r="H97" s="55"/>
      <c r="I97" s="59"/>
    </row>
    <row r="98" spans="1:9" ht="12.75">
      <c r="A98" s="69" t="s">
        <v>237</v>
      </c>
      <c r="B98" s="48"/>
      <c r="C98" s="59"/>
      <c r="I98" s="59"/>
    </row>
    <row r="99" spans="1:9" ht="12.75">
      <c r="A99" s="48" t="s">
        <v>317</v>
      </c>
      <c r="B99" s="48"/>
      <c r="C99" s="59"/>
      <c r="I99" s="59"/>
    </row>
    <row r="101" spans="1:4" ht="12.75">
      <c r="A101" s="69" t="s">
        <v>59</v>
      </c>
      <c r="B101" s="48"/>
      <c r="C101" s="53"/>
      <c r="D101" s="67" t="s">
        <v>80</v>
      </c>
    </row>
    <row r="102" spans="1:4" ht="12.75">
      <c r="A102" s="293" t="s">
        <v>288</v>
      </c>
      <c r="B102" s="48"/>
      <c r="C102" s="53"/>
      <c r="D102" s="67" t="s">
        <v>80</v>
      </c>
    </row>
    <row r="103" spans="1:4" ht="12.75">
      <c r="A103" s="69" t="s">
        <v>65</v>
      </c>
      <c r="B103" s="48"/>
      <c r="C103" s="53"/>
      <c r="D103" s="67" t="s">
        <v>80</v>
      </c>
    </row>
    <row r="104" spans="1:6" ht="12.75">
      <c r="A104" s="69" t="s">
        <v>226</v>
      </c>
      <c r="B104" s="48"/>
      <c r="C104" s="53"/>
      <c r="D104" s="67" t="s">
        <v>80</v>
      </c>
      <c r="E104" s="134" t="s">
        <v>239</v>
      </c>
      <c r="F104" s="72"/>
    </row>
    <row r="105" spans="1:6" ht="12.75">
      <c r="A105" s="48" t="s">
        <v>227</v>
      </c>
      <c r="B105" s="48"/>
      <c r="C105" s="53"/>
      <c r="D105" s="67" t="s">
        <v>80</v>
      </c>
      <c r="E105" s="72" t="s">
        <v>240</v>
      </c>
      <c r="F105" s="72"/>
    </row>
    <row r="106" spans="1:6" ht="12.75">
      <c r="A106" s="69" t="s">
        <v>228</v>
      </c>
      <c r="B106" s="48"/>
      <c r="C106" s="53"/>
      <c r="D106" s="67" t="s">
        <v>80</v>
      </c>
      <c r="E106" s="72" t="s">
        <v>241</v>
      </c>
      <c r="F106" s="72"/>
    </row>
    <row r="107" spans="1:3" ht="12.75">
      <c r="A107" s="69" t="s">
        <v>42</v>
      </c>
      <c r="B107" s="48"/>
      <c r="C107" s="135" t="s">
        <v>236</v>
      </c>
    </row>
    <row r="109" spans="1:6" ht="12.75">
      <c r="A109" s="48" t="s">
        <v>290</v>
      </c>
      <c r="B109" s="48"/>
      <c r="C109" s="53"/>
      <c r="D109" s="69" t="s">
        <v>80</v>
      </c>
      <c r="E109" s="349" t="s">
        <v>225</v>
      </c>
      <c r="F109" s="349"/>
    </row>
    <row r="110" spans="1:6" ht="12.75">
      <c r="A110" s="48" t="s">
        <v>265</v>
      </c>
      <c r="C110" s="53">
        <v>2</v>
      </c>
      <c r="D110" s="54" t="s">
        <v>123</v>
      </c>
      <c r="E110" s="349"/>
      <c r="F110" s="349"/>
    </row>
    <row r="111" spans="1:6" ht="10.5" customHeight="1">
      <c r="A111" s="48"/>
      <c r="D111" s="54"/>
      <c r="E111" s="292"/>
      <c r="F111" s="292"/>
    </row>
    <row r="112" spans="1:6" ht="12.75">
      <c r="A112" s="48" t="s">
        <v>291</v>
      </c>
      <c r="B112" s="48"/>
      <c r="C112" s="53"/>
      <c r="D112" s="69" t="s">
        <v>80</v>
      </c>
      <c r="E112" s="349" t="s">
        <v>225</v>
      </c>
      <c r="F112" s="349"/>
    </row>
    <row r="113" spans="1:6" ht="12.75">
      <c r="A113" s="45" t="s">
        <v>122</v>
      </c>
      <c r="B113" s="48"/>
      <c r="C113" s="53"/>
      <c r="D113" s="54" t="s">
        <v>123</v>
      </c>
      <c r="E113" s="349"/>
      <c r="F113" s="349"/>
    </row>
    <row r="114" ht="12.75">
      <c r="B114" s="48"/>
    </row>
    <row r="115" spans="1:4" ht="12.75">
      <c r="A115" s="48" t="s">
        <v>266</v>
      </c>
      <c r="B115" s="48"/>
      <c r="C115" s="53"/>
      <c r="D115" s="69" t="s">
        <v>80</v>
      </c>
    </row>
    <row r="116" spans="1:2" ht="12.75" customHeight="1">
      <c r="A116" s="68"/>
      <c r="B116" s="67"/>
    </row>
    <row r="117" spans="1:4" ht="12.75" customHeight="1">
      <c r="A117" s="48" t="s">
        <v>306</v>
      </c>
      <c r="B117" s="67"/>
      <c r="C117" s="53"/>
      <c r="D117" s="69" t="s">
        <v>80</v>
      </c>
    </row>
    <row r="118" ht="12.75">
      <c r="A118" s="293" t="s">
        <v>305</v>
      </c>
    </row>
    <row r="119" ht="12.75">
      <c r="A119" s="293"/>
    </row>
    <row r="120" ht="12.75">
      <c r="A120" s="293"/>
    </row>
    <row r="121" ht="12.75">
      <c r="A121" s="293"/>
    </row>
    <row r="122" ht="12.75">
      <c r="A122" s="293"/>
    </row>
    <row r="124" spans="1:6" ht="15.75">
      <c r="A124" s="308" t="s">
        <v>319</v>
      </c>
      <c r="B124" s="290"/>
      <c r="C124" s="290"/>
      <c r="D124" s="290"/>
      <c r="E124" s="290"/>
      <c r="F124" s="290"/>
    </row>
    <row r="125" ht="12.75">
      <c r="A125" s="67"/>
    </row>
    <row r="126" spans="1:6" ht="23.25" customHeight="1">
      <c r="A126" s="347" t="s">
        <v>61</v>
      </c>
      <c r="B126" s="96" t="s">
        <v>211</v>
      </c>
      <c r="C126" s="96"/>
      <c r="D126" s="126">
        <f>D180+D181</f>
        <v>130</v>
      </c>
      <c r="E126" s="97" t="s">
        <v>81</v>
      </c>
      <c r="F126" s="98"/>
    </row>
    <row r="127" spans="1:6" ht="23.25" customHeight="1">
      <c r="A127" s="348"/>
      <c r="B127" s="103" t="s">
        <v>213</v>
      </c>
      <c r="C127" s="103"/>
      <c r="D127" s="128">
        <f>D182+D183+D185+D184</f>
        <v>556.5996</v>
      </c>
      <c r="E127" s="101" t="s">
        <v>81</v>
      </c>
      <c r="F127" s="102"/>
    </row>
    <row r="128" spans="1:6" ht="23.25" customHeight="1">
      <c r="A128" s="348"/>
      <c r="B128" s="100" t="s">
        <v>212</v>
      </c>
      <c r="C128" s="100"/>
      <c r="D128" s="127">
        <f>D186+D187+D188</f>
        <v>80</v>
      </c>
      <c r="E128" s="101" t="s">
        <v>81</v>
      </c>
      <c r="F128" s="102"/>
    </row>
    <row r="129" spans="1:6" ht="23.25" customHeight="1">
      <c r="A129" s="348"/>
      <c r="B129" s="100" t="s">
        <v>220</v>
      </c>
      <c r="C129" s="100"/>
      <c r="D129" s="127">
        <f>D189</f>
        <v>0</v>
      </c>
      <c r="E129" s="101" t="s">
        <v>81</v>
      </c>
      <c r="F129" s="102"/>
    </row>
    <row r="130" spans="1:6" ht="23.25" customHeight="1">
      <c r="A130" s="348"/>
      <c r="B130" s="100" t="s">
        <v>222</v>
      </c>
      <c r="C130" s="100"/>
      <c r="D130" s="127">
        <f>D190</f>
        <v>0</v>
      </c>
      <c r="E130" s="101" t="s">
        <v>81</v>
      </c>
      <c r="F130" s="102"/>
    </row>
    <row r="131" spans="1:6" ht="23.25" customHeight="1">
      <c r="A131" s="348"/>
      <c r="B131" s="103" t="s">
        <v>157</v>
      </c>
      <c r="C131" s="103"/>
      <c r="D131" s="128">
        <f>D191</f>
        <v>82.576</v>
      </c>
      <c r="E131" s="101" t="s">
        <v>81</v>
      </c>
      <c r="F131" s="104"/>
    </row>
    <row r="132" spans="1:6" ht="23.25" customHeight="1">
      <c r="A132" s="229">
        <f>SUM(D126:D132)</f>
        <v>1091.9377</v>
      </c>
      <c r="B132" s="103" t="s">
        <v>214</v>
      </c>
      <c r="C132" s="103"/>
      <c r="D132" s="128">
        <f>D192+D193</f>
        <v>242.76209999999998</v>
      </c>
      <c r="E132" s="101" t="s">
        <v>81</v>
      </c>
      <c r="F132" s="104"/>
    </row>
    <row r="133" spans="1:6" ht="23.25" customHeight="1">
      <c r="A133" s="347" t="s">
        <v>62</v>
      </c>
      <c r="B133" s="109" t="s">
        <v>215</v>
      </c>
      <c r="C133" s="109"/>
      <c r="D133" s="130">
        <f>IF(C102&gt;0,D194,D194+D195)</f>
        <v>661.2774383999999</v>
      </c>
      <c r="E133" s="110" t="s">
        <v>81</v>
      </c>
      <c r="F133" s="111"/>
    </row>
    <row r="134" spans="1:6" ht="23.25" customHeight="1">
      <c r="A134" s="348"/>
      <c r="B134" s="103" t="s">
        <v>65</v>
      </c>
      <c r="C134" s="103"/>
      <c r="D134" s="128">
        <f>D196</f>
        <v>106.42962597119997</v>
      </c>
      <c r="E134" s="101" t="s">
        <v>81</v>
      </c>
      <c r="F134" s="104"/>
    </row>
    <row r="135" spans="1:6" ht="23.25" customHeight="1">
      <c r="A135" s="348"/>
      <c r="B135" s="103" t="s">
        <v>156</v>
      </c>
      <c r="C135" s="103"/>
      <c r="D135" s="128">
        <f>D197</f>
        <v>88.7</v>
      </c>
      <c r="E135" s="101" t="s">
        <v>81</v>
      </c>
      <c r="F135" s="104"/>
    </row>
    <row r="136" spans="1:6" ht="23.25" customHeight="1">
      <c r="A136" s="348"/>
      <c r="B136" s="103" t="s">
        <v>120</v>
      </c>
      <c r="C136" s="103"/>
      <c r="D136" s="128">
        <f>D198</f>
        <v>70</v>
      </c>
      <c r="E136" s="101" t="s">
        <v>81</v>
      </c>
      <c r="F136" s="104"/>
    </row>
    <row r="137" spans="1:6" ht="23.25" customHeight="1">
      <c r="A137" s="229">
        <f>SUM(D133:D137)</f>
        <v>926.4070643711999</v>
      </c>
      <c r="B137" s="105" t="s">
        <v>121</v>
      </c>
      <c r="C137" s="105"/>
      <c r="D137" s="129">
        <f>D199</f>
        <v>0</v>
      </c>
      <c r="E137" s="112" t="s">
        <v>81</v>
      </c>
      <c r="F137" s="107"/>
    </row>
    <row r="138" spans="1:6" ht="23.25" customHeight="1">
      <c r="A138" s="307">
        <f>A200</f>
        <v>0</v>
      </c>
      <c r="B138" s="105" t="str">
        <f>B200</f>
        <v>Autres dépenses régulières</v>
      </c>
      <c r="C138" s="105"/>
      <c r="D138" s="129">
        <f>D200</f>
        <v>0</v>
      </c>
      <c r="E138" s="112" t="s">
        <v>81</v>
      </c>
      <c r="F138" s="107"/>
    </row>
    <row r="139" spans="1:6" ht="9" customHeight="1">
      <c r="A139" s="122"/>
      <c r="B139" s="99"/>
      <c r="C139" s="99"/>
      <c r="D139" s="131"/>
      <c r="E139" s="99"/>
      <c r="F139" s="99"/>
    </row>
    <row r="140" spans="1:6" ht="15.75">
      <c r="A140" s="91" t="s">
        <v>82</v>
      </c>
      <c r="B140" s="92"/>
      <c r="C140" s="93"/>
      <c r="D140" s="124">
        <f>SUM(D126:D138)</f>
        <v>2018.3447643712</v>
      </c>
      <c r="E140" s="94" t="s">
        <v>81</v>
      </c>
      <c r="F140" s="95"/>
    </row>
    <row r="141" ht="12.75">
      <c r="D141" s="125"/>
    </row>
    <row r="142" ht="10.5" customHeight="1">
      <c r="D142" s="125"/>
    </row>
    <row r="143" spans="1:6" ht="23.25" customHeight="1">
      <c r="A143" s="291" t="s">
        <v>200</v>
      </c>
      <c r="B143" s="290"/>
      <c r="C143" s="290"/>
      <c r="D143" s="124">
        <f>D206</f>
        <v>81.6552356287998</v>
      </c>
      <c r="E143" s="94" t="s">
        <v>81</v>
      </c>
      <c r="F143" s="95"/>
    </row>
    <row r="144" spans="1:6" ht="13.5">
      <c r="A144" s="137" t="s">
        <v>249</v>
      </c>
      <c r="B144" s="114"/>
      <c r="C144" s="99"/>
      <c r="D144" s="99"/>
      <c r="E144" s="99"/>
      <c r="F144" s="99"/>
    </row>
    <row r="145" spans="1:6" ht="12.75">
      <c r="A145" s="123"/>
      <c r="B145" s="73"/>
      <c r="C145" s="99"/>
      <c r="D145" s="99"/>
      <c r="E145" s="99"/>
      <c r="F145" s="99"/>
    </row>
    <row r="146" spans="1:6" ht="12.75">
      <c r="A146" s="123"/>
      <c r="B146" s="73"/>
      <c r="C146" s="99"/>
      <c r="D146" s="99"/>
      <c r="E146" s="99"/>
      <c r="F146" s="99"/>
    </row>
    <row r="147" spans="1:6" ht="12.75">
      <c r="A147" s="123"/>
      <c r="B147" s="73"/>
      <c r="C147" s="99"/>
      <c r="D147" s="99"/>
      <c r="E147" s="99"/>
      <c r="F147" s="99"/>
    </row>
    <row r="148" spans="1:6" ht="12.75">
      <c r="A148" s="123"/>
      <c r="B148" s="73"/>
      <c r="C148" s="99"/>
      <c r="D148" s="99"/>
      <c r="E148" s="99"/>
      <c r="F148" s="99"/>
    </row>
    <row r="149" spans="1:6" ht="12.75">
      <c r="A149" s="123"/>
      <c r="B149" s="73"/>
      <c r="C149" s="99"/>
      <c r="D149" s="99"/>
      <c r="E149" s="99"/>
      <c r="F149" s="99"/>
    </row>
    <row r="150" spans="1:6" ht="12.75">
      <c r="A150" s="123"/>
      <c r="B150" s="73"/>
      <c r="C150" s="99"/>
      <c r="D150" s="99"/>
      <c r="E150" s="99"/>
      <c r="F150" s="99"/>
    </row>
    <row r="151" spans="1:6" ht="12.75">
      <c r="A151" s="73"/>
      <c r="B151" s="73"/>
      <c r="C151" s="99"/>
      <c r="D151" s="99"/>
      <c r="E151" s="99"/>
      <c r="F151" s="99"/>
    </row>
    <row r="152" spans="1:6" ht="12.75">
      <c r="A152" s="73"/>
      <c r="B152" s="73"/>
      <c r="C152" s="99"/>
      <c r="D152" s="99"/>
      <c r="E152" s="99"/>
      <c r="F152" s="99"/>
    </row>
    <row r="153" spans="1:6" ht="12.75">
      <c r="A153" s="73"/>
      <c r="B153" s="73"/>
      <c r="C153" s="99"/>
      <c r="D153" s="99"/>
      <c r="E153" s="99"/>
      <c r="F153" s="99"/>
    </row>
    <row r="154" spans="1:6" ht="12.75">
      <c r="A154" s="99"/>
      <c r="B154" s="99"/>
      <c r="C154" s="99"/>
      <c r="D154" s="99"/>
      <c r="E154" s="99"/>
      <c r="F154" s="99"/>
    </row>
    <row r="155" spans="1:6" ht="12.75">
      <c r="A155" s="99"/>
      <c r="B155" s="99"/>
      <c r="C155" s="99"/>
      <c r="D155" s="99"/>
      <c r="E155" s="99"/>
      <c r="F155" s="99"/>
    </row>
    <row r="156" spans="1:6" ht="12.75">
      <c r="A156" s="99"/>
      <c r="B156" s="99"/>
      <c r="C156" s="99"/>
      <c r="D156" s="99"/>
      <c r="E156" s="99"/>
      <c r="F156" s="99"/>
    </row>
    <row r="157" spans="1:6" ht="12.75">
      <c r="A157" s="99"/>
      <c r="B157" s="99"/>
      <c r="C157" s="99"/>
      <c r="D157" s="99"/>
      <c r="E157" s="99"/>
      <c r="F157" s="99"/>
    </row>
    <row r="158" spans="1:6" ht="12.75">
      <c r="A158" s="99"/>
      <c r="B158" s="99"/>
      <c r="C158" s="99"/>
      <c r="D158" s="99"/>
      <c r="E158" s="99"/>
      <c r="F158" s="99"/>
    </row>
    <row r="159" spans="1:6" ht="12.75">
      <c r="A159" s="99"/>
      <c r="B159" s="99"/>
      <c r="C159" s="99"/>
      <c r="D159" s="99"/>
      <c r="E159" s="99"/>
      <c r="F159" s="99"/>
    </row>
    <row r="160" spans="1:6" ht="12.75">
      <c r="A160" s="99"/>
      <c r="B160" s="99"/>
      <c r="C160" s="99"/>
      <c r="D160" s="99"/>
      <c r="E160" s="99"/>
      <c r="F160" s="99"/>
    </row>
    <row r="161" spans="1:6" ht="12.75">
      <c r="A161" s="99"/>
      <c r="B161" s="99"/>
      <c r="C161" s="99"/>
      <c r="D161" s="99"/>
      <c r="E161" s="99"/>
      <c r="F161" s="99"/>
    </row>
    <row r="162" spans="1:6" ht="12.75">
      <c r="A162" s="99"/>
      <c r="B162" s="99"/>
      <c r="C162" s="99"/>
      <c r="D162" s="99"/>
      <c r="E162" s="99"/>
      <c r="F162" s="99"/>
    </row>
    <row r="163" spans="1:6" ht="12.75">
      <c r="A163" s="99"/>
      <c r="B163" s="99"/>
      <c r="C163" s="99"/>
      <c r="D163" s="99"/>
      <c r="E163" s="99"/>
      <c r="F163" s="99"/>
    </row>
    <row r="164" spans="1:6" ht="12.75">
      <c r="A164" s="99"/>
      <c r="B164" s="99"/>
      <c r="C164" s="99"/>
      <c r="D164" s="99"/>
      <c r="E164" s="99"/>
      <c r="F164" s="99"/>
    </row>
    <row r="165" spans="1:6" ht="12.75">
      <c r="A165" s="99"/>
      <c r="B165" s="99"/>
      <c r="C165" s="99"/>
      <c r="D165" s="99"/>
      <c r="E165" s="99"/>
      <c r="F165" s="99"/>
    </row>
    <row r="166" spans="1:6" ht="12.75">
      <c r="A166" s="99"/>
      <c r="B166" s="99"/>
      <c r="C166" s="99"/>
      <c r="D166" s="99"/>
      <c r="E166" s="99"/>
      <c r="F166" s="99"/>
    </row>
    <row r="167" spans="1:6" ht="12.75">
      <c r="A167" s="99"/>
      <c r="B167" s="99"/>
      <c r="C167" s="99"/>
      <c r="D167" s="99"/>
      <c r="E167" s="99"/>
      <c r="F167" s="99"/>
    </row>
    <row r="168" spans="1:6" ht="12.75">
      <c r="A168" s="99"/>
      <c r="B168" s="99"/>
      <c r="C168" s="99"/>
      <c r="D168" s="99"/>
      <c r="E168" s="99"/>
      <c r="F168" s="99"/>
    </row>
    <row r="169" spans="1:6" ht="12.75">
      <c r="A169" s="99"/>
      <c r="B169" s="99"/>
      <c r="C169" s="99"/>
      <c r="D169" s="99"/>
      <c r="E169" s="99"/>
      <c r="F169" s="99"/>
    </row>
    <row r="170" spans="1:6" ht="12.75">
      <c r="A170" s="119" t="s">
        <v>318</v>
      </c>
      <c r="B170" s="99"/>
      <c r="C170" s="99"/>
      <c r="D170" s="99"/>
      <c r="E170" s="99"/>
      <c r="F170" s="99"/>
    </row>
    <row r="171" spans="1:6" ht="12.75">
      <c r="A171" s="119" t="s">
        <v>251</v>
      </c>
      <c r="B171" s="99"/>
      <c r="C171" s="99"/>
      <c r="D171" s="99"/>
      <c r="E171" s="99"/>
      <c r="F171" s="99"/>
    </row>
    <row r="172" spans="1:6" ht="12.75">
      <c r="A172" s="99"/>
      <c r="B172" s="99"/>
      <c r="C172" s="99"/>
      <c r="D172" s="99"/>
      <c r="E172" s="99"/>
      <c r="F172" s="99"/>
    </row>
    <row r="173" spans="1:6" ht="12.75">
      <c r="A173" s="99" t="s">
        <v>279</v>
      </c>
      <c r="B173" s="99"/>
      <c r="C173" s="99"/>
      <c r="D173" s="99"/>
      <c r="E173" s="99"/>
      <c r="F173" s="99"/>
    </row>
    <row r="174" spans="1:6" ht="12.75">
      <c r="A174" s="99" t="s">
        <v>280</v>
      </c>
      <c r="B174" s="99"/>
      <c r="C174" s="99"/>
      <c r="D174" s="99"/>
      <c r="E174" s="99"/>
      <c r="F174" s="99"/>
    </row>
    <row r="175" spans="1:6" ht="9.75" customHeight="1">
      <c r="A175" s="99"/>
      <c r="B175" s="99"/>
      <c r="C175" s="99"/>
      <c r="D175" s="99"/>
      <c r="E175" s="99"/>
      <c r="F175" s="99"/>
    </row>
    <row r="176" spans="1:6" ht="12.75">
      <c r="A176" s="286" t="s">
        <v>259</v>
      </c>
      <c r="B176" s="286"/>
      <c r="C176" s="287" t="s">
        <v>281</v>
      </c>
      <c r="D176" s="286"/>
      <c r="E176" s="286"/>
      <c r="F176" s="288" t="s">
        <v>282</v>
      </c>
    </row>
    <row r="177" spans="8:9" ht="8.25" customHeight="1">
      <c r="H177" s="58" t="s">
        <v>35</v>
      </c>
      <c r="I177" s="59"/>
    </row>
    <row r="178" spans="1:9" ht="15.75">
      <c r="A178" s="308" t="s">
        <v>320</v>
      </c>
      <c r="B178" s="290"/>
      <c r="C178" s="290"/>
      <c r="D178" s="290"/>
      <c r="E178" s="290"/>
      <c r="F178" s="290"/>
      <c r="H178" s="58" t="s">
        <v>34</v>
      </c>
      <c r="I178" s="59"/>
    </row>
    <row r="179" spans="8:9" ht="12.75">
      <c r="H179" s="58"/>
      <c r="I179" s="59"/>
    </row>
    <row r="180" spans="1:7" s="99" customFormat="1" ht="16.5" customHeight="1">
      <c r="A180" s="353" t="s">
        <v>61</v>
      </c>
      <c r="B180" s="96" t="s">
        <v>175</v>
      </c>
      <c r="C180" s="96"/>
      <c r="D180" s="126">
        <f>C63</f>
        <v>0</v>
      </c>
      <c r="E180" s="97" t="s">
        <v>81</v>
      </c>
      <c r="F180" s="98"/>
      <c r="G180" s="306"/>
    </row>
    <row r="181" spans="1:7" s="99" customFormat="1" ht="16.5" customHeight="1">
      <c r="A181" s="354"/>
      <c r="B181" s="100" t="s">
        <v>174</v>
      </c>
      <c r="C181" s="100"/>
      <c r="D181" s="127">
        <f>C65+C66</f>
        <v>130</v>
      </c>
      <c r="E181" s="101" t="s">
        <v>81</v>
      </c>
      <c r="F181" s="102"/>
      <c r="G181" s="306"/>
    </row>
    <row r="182" spans="1:7" s="99" customFormat="1" ht="16.5" customHeight="1">
      <c r="A182" s="355"/>
      <c r="B182" s="103" t="s">
        <v>269</v>
      </c>
      <c r="C182" s="103"/>
      <c r="D182" s="128">
        <f>C68</f>
        <v>500</v>
      </c>
      <c r="E182" s="101" t="s">
        <v>81</v>
      </c>
      <c r="F182" s="102"/>
      <c r="G182" s="306"/>
    </row>
    <row r="183" spans="1:7" s="99" customFormat="1" ht="16.5" customHeight="1">
      <c r="A183" s="355"/>
      <c r="B183" s="100" t="str">
        <f>A69</f>
        <v>Charges copropriété</v>
      </c>
      <c r="C183" s="100"/>
      <c r="D183" s="127">
        <f>C69</f>
        <v>0</v>
      </c>
      <c r="E183" s="101" t="s">
        <v>81</v>
      </c>
      <c r="F183" s="102"/>
      <c r="G183" s="306"/>
    </row>
    <row r="184" spans="1:7" s="99" customFormat="1" ht="16.5" customHeight="1">
      <c r="A184" s="355"/>
      <c r="B184" s="103" t="s">
        <v>59</v>
      </c>
      <c r="C184" s="103"/>
      <c r="D184" s="128">
        <f>'Calculs charges'!C76</f>
        <v>16.599600000000002</v>
      </c>
      <c r="E184" s="101" t="s">
        <v>81</v>
      </c>
      <c r="F184" s="104"/>
      <c r="G184" s="306"/>
    </row>
    <row r="185" spans="1:7" s="99" customFormat="1" ht="16.5" customHeight="1">
      <c r="A185" s="355"/>
      <c r="B185" s="100" t="s">
        <v>177</v>
      </c>
      <c r="C185" s="100"/>
      <c r="D185" s="127">
        <f>C84</f>
        <v>40</v>
      </c>
      <c r="E185" s="101" t="s">
        <v>81</v>
      </c>
      <c r="F185" s="102"/>
      <c r="G185" s="306"/>
    </row>
    <row r="186" spans="1:7" s="99" customFormat="1" ht="16.5" customHeight="1">
      <c r="A186" s="355"/>
      <c r="B186" s="100" t="s">
        <v>190</v>
      </c>
      <c r="C186" s="100"/>
      <c r="D186" s="127">
        <f>C74</f>
        <v>80</v>
      </c>
      <c r="E186" s="101" t="s">
        <v>81</v>
      </c>
      <c r="F186" s="102"/>
      <c r="G186" s="306"/>
    </row>
    <row r="187" spans="1:7" s="99" customFormat="1" ht="16.5" customHeight="1">
      <c r="A187" s="355"/>
      <c r="B187" s="100" t="s">
        <v>209</v>
      </c>
      <c r="C187" s="100"/>
      <c r="D187" s="127">
        <f>C75</f>
        <v>0</v>
      </c>
      <c r="E187" s="101" t="s">
        <v>81</v>
      </c>
      <c r="F187" s="102"/>
      <c r="G187" s="306"/>
    </row>
    <row r="188" spans="1:7" s="99" customFormat="1" ht="16.5" customHeight="1">
      <c r="A188" s="355"/>
      <c r="B188" s="100" t="s">
        <v>208</v>
      </c>
      <c r="C188" s="100"/>
      <c r="D188" s="127">
        <f>C76+C77</f>
        <v>0</v>
      </c>
      <c r="E188" s="101" t="s">
        <v>81</v>
      </c>
      <c r="F188" s="102"/>
      <c r="G188" s="306"/>
    </row>
    <row r="189" spans="1:7" s="99" customFormat="1" ht="16.5" customHeight="1">
      <c r="A189" s="355"/>
      <c r="B189" s="100" t="str">
        <f>A79</f>
        <v>Frais de garde d'enfants</v>
      </c>
      <c r="C189" s="100"/>
      <c r="D189" s="127">
        <f>C79</f>
        <v>0</v>
      </c>
      <c r="E189" s="101" t="s">
        <v>81</v>
      </c>
      <c r="F189" s="102"/>
      <c r="G189" s="306"/>
    </row>
    <row r="190" spans="1:7" s="99" customFormat="1" ht="16.5" customHeight="1">
      <c r="A190" s="355"/>
      <c r="B190" s="100" t="s">
        <v>222</v>
      </c>
      <c r="C190" s="100"/>
      <c r="D190" s="127">
        <f>C80+C78</f>
        <v>0</v>
      </c>
      <c r="E190" s="101" t="s">
        <v>81</v>
      </c>
      <c r="F190" s="102"/>
      <c r="G190" s="306"/>
    </row>
    <row r="191" spans="1:7" s="99" customFormat="1" ht="16.5" customHeight="1">
      <c r="A191" s="355"/>
      <c r="B191" s="103" t="s">
        <v>157</v>
      </c>
      <c r="C191" s="103"/>
      <c r="D191" s="128">
        <f>'Facture énergie'!E61+'Facture énergie'!E70</f>
        <v>82.576</v>
      </c>
      <c r="E191" s="101" t="s">
        <v>81</v>
      </c>
      <c r="F191" s="104"/>
      <c r="G191" s="306"/>
    </row>
    <row r="192" spans="1:7" s="99" customFormat="1" ht="16.5" customHeight="1">
      <c r="A192" s="355"/>
      <c r="B192" s="103" t="s">
        <v>210</v>
      </c>
      <c r="C192" s="103"/>
      <c r="D192" s="128">
        <f>'Facture énergie'!C30/12</f>
        <v>192.24249999999998</v>
      </c>
      <c r="E192" s="101" t="s">
        <v>81</v>
      </c>
      <c r="F192" s="104"/>
      <c r="G192" s="306"/>
    </row>
    <row r="193" spans="1:8" s="99" customFormat="1" ht="16.5" customHeight="1">
      <c r="A193" s="229">
        <f>SUM(D180:D193)</f>
        <v>1091.9377000000002</v>
      </c>
      <c r="B193" s="105" t="s">
        <v>60</v>
      </c>
      <c r="C193" s="105"/>
      <c r="D193" s="129">
        <f>IF(C104&gt;0,C104,IF('Budget mensuel'!C74=0,'Calculs charges'!E76,IF('Budget mensuel'!D70="Non",'Calculs charges'!E76,0)))</f>
        <v>50.5196</v>
      </c>
      <c r="E193" s="106" t="s">
        <v>81</v>
      </c>
      <c r="F193" s="107"/>
      <c r="G193" s="306"/>
      <c r="H193" s="108"/>
    </row>
    <row r="194" spans="1:8" s="99" customFormat="1" ht="18" customHeight="1">
      <c r="A194" s="347" t="s">
        <v>62</v>
      </c>
      <c r="B194" s="109" t="s">
        <v>63</v>
      </c>
      <c r="C194" s="109"/>
      <c r="D194" s="130">
        <f>IF(C102&gt;0,C102,'Calculs charges'!F76)</f>
        <v>569.0790624</v>
      </c>
      <c r="E194" s="110" t="s">
        <v>81</v>
      </c>
      <c r="F194" s="111"/>
      <c r="G194" s="306"/>
      <c r="H194" s="108"/>
    </row>
    <row r="195" spans="1:8" s="99" customFormat="1" ht="18" customHeight="1">
      <c r="A195" s="356"/>
      <c r="B195" s="103" t="s">
        <v>64</v>
      </c>
      <c r="C195" s="103"/>
      <c r="D195" s="294">
        <f>IF(C102&gt;0,"dans alimentation",'Calculs charges'!G76)</f>
        <v>92.198376</v>
      </c>
      <c r="E195" s="101" t="s">
        <v>81</v>
      </c>
      <c r="F195" s="104"/>
      <c r="G195" s="306"/>
      <c r="H195" s="108"/>
    </row>
    <row r="196" spans="1:8" s="99" customFormat="1" ht="18" customHeight="1">
      <c r="A196" s="356"/>
      <c r="B196" s="103" t="s">
        <v>65</v>
      </c>
      <c r="C196" s="103"/>
      <c r="D196" s="128">
        <f>'Calculs charges'!H76</f>
        <v>106.42962597119997</v>
      </c>
      <c r="E196" s="101" t="s">
        <v>81</v>
      </c>
      <c r="F196" s="104"/>
      <c r="G196" s="306"/>
      <c r="H196" s="108"/>
    </row>
    <row r="197" spans="1:8" s="99" customFormat="1" ht="18" customHeight="1">
      <c r="A197" s="356"/>
      <c r="B197" s="103" t="s">
        <v>156</v>
      </c>
      <c r="C197" s="103"/>
      <c r="D197" s="128">
        <f>'Facture énergie'!E79</f>
        <v>88.7</v>
      </c>
      <c r="E197" s="101" t="s">
        <v>81</v>
      </c>
      <c r="F197" s="104"/>
      <c r="G197" s="306"/>
      <c r="H197" s="108"/>
    </row>
    <row r="198" spans="1:8" s="99" customFormat="1" ht="18" customHeight="1">
      <c r="A198" s="356"/>
      <c r="B198" s="103" t="s">
        <v>120</v>
      </c>
      <c r="C198" s="103"/>
      <c r="D198" s="128">
        <f>'Calculs charges'!I76</f>
        <v>70</v>
      </c>
      <c r="E198" s="101" t="s">
        <v>81</v>
      </c>
      <c r="F198" s="104"/>
      <c r="G198" s="306"/>
      <c r="H198" s="108"/>
    </row>
    <row r="199" spans="1:8" s="99" customFormat="1" ht="16.5" customHeight="1">
      <c r="A199" s="229">
        <f>SUM(D194:D199)</f>
        <v>926.4070643711999</v>
      </c>
      <c r="B199" s="105" t="s">
        <v>121</v>
      </c>
      <c r="C199" s="105"/>
      <c r="D199" s="129">
        <f>'Calculs charges'!J76</f>
        <v>0</v>
      </c>
      <c r="E199" s="112" t="s">
        <v>81</v>
      </c>
      <c r="F199" s="107"/>
      <c r="G199" s="306"/>
      <c r="H199" s="108"/>
    </row>
    <row r="200" spans="1:8" s="99" customFormat="1" ht="16.5" customHeight="1">
      <c r="A200" s="229">
        <f>D200</f>
        <v>0</v>
      </c>
      <c r="B200" s="105" t="str">
        <f>A117</f>
        <v>Autres dépenses régulières</v>
      </c>
      <c r="C200" s="105"/>
      <c r="D200" s="129">
        <f>C117</f>
        <v>0</v>
      </c>
      <c r="E200" s="112" t="s">
        <v>81</v>
      </c>
      <c r="F200" s="107"/>
      <c r="G200" s="306"/>
      <c r="H200" s="108"/>
    </row>
    <row r="201" spans="1:8" s="99" customFormat="1" ht="25.5" customHeight="1">
      <c r="A201" s="91" t="s">
        <v>82</v>
      </c>
      <c r="B201" s="92"/>
      <c r="C201" s="93"/>
      <c r="D201" s="124">
        <f>SUM(D180:D200)</f>
        <v>2018.3447643712002</v>
      </c>
      <c r="E201" s="94" t="s">
        <v>81</v>
      </c>
      <c r="F201" s="95"/>
      <c r="G201" s="306"/>
      <c r="H201" s="108"/>
    </row>
    <row r="202" spans="1:8" s="99" customFormat="1" ht="15.75">
      <c r="A202" s="113"/>
      <c r="B202" s="114"/>
      <c r="D202" s="131"/>
      <c r="H202" s="108"/>
    </row>
    <row r="203" spans="1:8" s="99" customFormat="1" ht="15.75">
      <c r="A203" s="113"/>
      <c r="B203" s="114"/>
      <c r="C203" s="115" t="s">
        <v>83</v>
      </c>
      <c r="D203" s="132">
        <f>D201*12</f>
        <v>24220.1371724544</v>
      </c>
      <c r="E203" s="116" t="s">
        <v>79</v>
      </c>
      <c r="F203" s="117"/>
      <c r="H203" s="108"/>
    </row>
    <row r="204" spans="1:8" s="99" customFormat="1" ht="15.75">
      <c r="A204" s="113"/>
      <c r="B204" s="114"/>
      <c r="C204" s="114"/>
      <c r="D204" s="133"/>
      <c r="E204" s="114"/>
      <c r="F204" s="114"/>
      <c r="H204" s="108"/>
    </row>
    <row r="205" spans="1:8" s="99" customFormat="1" ht="15.75">
      <c r="A205" s="113"/>
      <c r="B205" s="114"/>
      <c r="D205" s="131"/>
      <c r="H205" s="108"/>
    </row>
    <row r="206" spans="1:8" s="99" customFormat="1" ht="25.5" customHeight="1">
      <c r="A206" s="291" t="s">
        <v>200</v>
      </c>
      <c r="B206" s="290"/>
      <c r="C206" s="290"/>
      <c r="D206" s="124">
        <f>C50-D201</f>
        <v>81.6552356287998</v>
      </c>
      <c r="E206" s="94" t="s">
        <v>81</v>
      </c>
      <c r="F206" s="95"/>
      <c r="H206" s="108"/>
    </row>
    <row r="207" spans="1:8" s="99" customFormat="1" ht="13.5">
      <c r="A207" s="137" t="s">
        <v>249</v>
      </c>
      <c r="B207" s="114"/>
      <c r="H207" s="108"/>
    </row>
    <row r="208" spans="1:8" s="99" customFormat="1" ht="13.5">
      <c r="A208" s="137"/>
      <c r="B208" s="114"/>
      <c r="H208" s="108"/>
    </row>
    <row r="209" spans="1:8" s="99" customFormat="1" ht="15.75">
      <c r="A209" s="113"/>
      <c r="B209" s="114"/>
      <c r="H209" s="108"/>
    </row>
    <row r="210" spans="1:8" s="99" customFormat="1" ht="15.75">
      <c r="A210" s="113"/>
      <c r="B210" s="114"/>
      <c r="H210" s="118"/>
    </row>
    <row r="211" spans="1:8" s="99" customFormat="1" ht="15.75">
      <c r="A211" s="113"/>
      <c r="B211" s="114"/>
      <c r="H211" s="58"/>
    </row>
    <row r="212" spans="1:8" s="99" customFormat="1" ht="15.75">
      <c r="A212" s="113"/>
      <c r="B212" s="114"/>
      <c r="H212" s="48"/>
    </row>
    <row r="213" spans="1:8" s="99" customFormat="1" ht="15.75">
      <c r="A213" s="113"/>
      <c r="B213" s="114"/>
      <c r="H213" s="48"/>
    </row>
    <row r="214" spans="1:8" s="99" customFormat="1" ht="15.75">
      <c r="A214" s="113"/>
      <c r="B214" s="114"/>
      <c r="H214" s="48"/>
    </row>
    <row r="215" spans="1:8" s="99" customFormat="1" ht="15.75">
      <c r="A215" s="113"/>
      <c r="B215" s="114"/>
      <c r="H215" s="48"/>
    </row>
    <row r="216" spans="1:8" s="99" customFormat="1" ht="15.75">
      <c r="A216" s="113"/>
      <c r="B216" s="114"/>
      <c r="H216" s="48"/>
    </row>
    <row r="217" spans="1:8" s="99" customFormat="1" ht="15.75">
      <c r="A217" s="113"/>
      <c r="B217" s="114"/>
      <c r="H217" s="48"/>
    </row>
    <row r="218" spans="1:8" s="99" customFormat="1" ht="15.75">
      <c r="A218" s="113"/>
      <c r="B218" s="114"/>
      <c r="H218" s="48"/>
    </row>
    <row r="219" spans="1:8" s="99" customFormat="1" ht="15.75">
      <c r="A219" s="113"/>
      <c r="B219" s="114"/>
      <c r="H219" s="48"/>
    </row>
    <row r="220" spans="1:8" s="99" customFormat="1" ht="15.75">
      <c r="A220" s="113"/>
      <c r="B220" s="114"/>
      <c r="H220" s="48"/>
    </row>
    <row r="221" spans="1:8" s="99" customFormat="1" ht="15.75">
      <c r="A221" s="113"/>
      <c r="B221" s="114"/>
      <c r="H221" s="48"/>
    </row>
    <row r="222" spans="1:8" s="99" customFormat="1" ht="15.75">
      <c r="A222" s="113"/>
      <c r="B222" s="114"/>
      <c r="H222" s="48"/>
    </row>
    <row r="223" spans="1:8" s="99" customFormat="1" ht="15.75">
      <c r="A223" s="113"/>
      <c r="B223" s="114"/>
      <c r="H223" s="48"/>
    </row>
    <row r="224" spans="1:8" s="99" customFormat="1" ht="15.75">
      <c r="A224" s="113"/>
      <c r="B224" s="114"/>
      <c r="H224" s="48"/>
    </row>
    <row r="225" spans="1:8" s="99" customFormat="1" ht="15.75">
      <c r="A225" s="113"/>
      <c r="B225" s="114"/>
      <c r="H225" s="48"/>
    </row>
    <row r="226" spans="1:8" s="99" customFormat="1" ht="15.75">
      <c r="A226" s="113"/>
      <c r="B226" s="114"/>
      <c r="H226" s="48"/>
    </row>
    <row r="227" spans="1:14" s="99" customFormat="1" ht="7.5" customHeight="1">
      <c r="A227" s="113"/>
      <c r="B227" s="114"/>
      <c r="H227" s="48"/>
      <c r="I227" s="45"/>
      <c r="J227" s="45"/>
      <c r="K227" s="45"/>
      <c r="L227" s="45"/>
      <c r="M227" s="45"/>
      <c r="N227" s="45"/>
    </row>
    <row r="228" spans="1:5" ht="13.5" customHeight="1">
      <c r="A228" s="119" t="s">
        <v>318</v>
      </c>
      <c r="B228" s="120"/>
      <c r="C228" s="121"/>
      <c r="D228" s="121"/>
      <c r="E228" s="99"/>
    </row>
    <row r="229" spans="1:5" ht="13.5" customHeight="1">
      <c r="A229" s="119" t="s">
        <v>250</v>
      </c>
      <c r="B229" s="120"/>
      <c r="C229" s="121"/>
      <c r="D229" s="121"/>
      <c r="E229" s="99"/>
    </row>
  </sheetData>
  <sheetProtection/>
  <mergeCells count="7">
    <mergeCell ref="A133:A136"/>
    <mergeCell ref="E109:F110"/>
    <mergeCell ref="E112:F113"/>
    <mergeCell ref="A1:F1"/>
    <mergeCell ref="A180:A192"/>
    <mergeCell ref="A194:A198"/>
    <mergeCell ref="A126:A131"/>
  </mergeCells>
  <dataValidations count="7">
    <dataValidation type="list" allowBlank="1" showInputMessage="1" showErrorMessage="1" sqref="C90 D91 C94">
      <formula1>mode_déplacement</formula1>
    </dataValidation>
    <dataValidation type="list" allowBlank="1" showInputMessage="1" showErrorMessage="1" sqref="D70:D72">
      <formula1>Oui_Non</formula1>
    </dataValidation>
    <dataValidation type="list" allowBlank="1" showInputMessage="1" showErrorMessage="1" sqref="C107">
      <formula1>ECS_dans_dépenses</formula1>
    </dataValidation>
    <dataValidation type="list" allowBlank="1" showInputMessage="1" showErrorMessage="1" sqref="C28">
      <formula1>Equipement_élec</formula1>
    </dataValidation>
    <dataValidation type="list" allowBlank="1" showInputMessage="1" showErrorMessage="1" sqref="C27">
      <formula1>Cuisson</formula1>
    </dataValidation>
    <dataValidation type="list" allowBlank="1" showInputMessage="1" showErrorMessage="1" sqref="C25:C26">
      <formula1>'Budget mensuel'!$H$16:$H$26</formula1>
    </dataValidation>
    <dataValidation type="list" allowBlank="1" showInputMessage="1" showErrorMessage="1" sqref="C30">
      <formula1>ECScollective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6"/>
  <rowBreaks count="3" manualBreakCount="3">
    <brk id="58" max="5" man="1"/>
    <brk id="176" max="5" man="1"/>
    <brk id="122" max="6" man="1"/>
  </rowBreaks>
  <ignoredErrors>
    <ignoredError sqref="D186 D181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83"/>
  <sheetViews>
    <sheetView zoomScaleSheetLayoutView="100" workbookViewId="0" topLeftCell="A1">
      <selection activeCell="I19" sqref="I19"/>
    </sheetView>
  </sheetViews>
  <sheetFormatPr defaultColWidth="11.00390625" defaultRowHeight="12.75"/>
  <cols>
    <col min="1" max="1" width="12.00390625" style="0" customWidth="1"/>
    <col min="6" max="6" width="8.375" style="0" customWidth="1"/>
  </cols>
  <sheetData>
    <row r="1" ht="13.5" thickBot="1"/>
    <row r="2" spans="1:6" ht="18.75" thickBot="1">
      <c r="A2" s="29" t="s">
        <v>3</v>
      </c>
      <c r="B2" s="27"/>
      <c r="C2" s="27"/>
      <c r="D2" s="27"/>
      <c r="E2" s="27"/>
      <c r="F2" s="28"/>
    </row>
    <row r="6" ht="12.75">
      <c r="A6" t="s">
        <v>134</v>
      </c>
    </row>
    <row r="9" spans="1:3" ht="15.75">
      <c r="A9" s="5" t="s">
        <v>23</v>
      </c>
      <c r="B9" s="23"/>
      <c r="C9" s="23"/>
    </row>
    <row r="10" spans="1:2" ht="15.75">
      <c r="A10" s="9"/>
      <c r="B10" s="26"/>
    </row>
    <row r="11" spans="1:2" ht="15.75">
      <c r="A11" s="9"/>
      <c r="B11" s="26"/>
    </row>
    <row r="12" spans="1:2" ht="15">
      <c r="A12" s="9"/>
      <c r="B12" s="26"/>
    </row>
    <row r="13" spans="1:2" ht="15">
      <c r="A13" s="9"/>
      <c r="B13" s="26"/>
    </row>
    <row r="14" spans="1:2" ht="15">
      <c r="A14" s="9"/>
      <c r="B14" s="26"/>
    </row>
    <row r="15" spans="1:2" ht="15">
      <c r="A15" s="9"/>
      <c r="B15" s="26"/>
    </row>
    <row r="16" spans="1:2" ht="15">
      <c r="A16" s="9"/>
      <c r="B16" s="26"/>
    </row>
    <row r="17" spans="1:2" ht="15">
      <c r="A17" s="9"/>
      <c r="B17" s="26"/>
    </row>
    <row r="18" spans="1:2" ht="15">
      <c r="A18" s="9"/>
      <c r="B18" s="26"/>
    </row>
    <row r="19" spans="1:2" ht="15">
      <c r="A19" s="9"/>
      <c r="B19" s="26"/>
    </row>
    <row r="20" spans="1:2" ht="15">
      <c r="A20" s="9"/>
      <c r="B20" s="26"/>
    </row>
    <row r="21" spans="1:2" ht="15">
      <c r="A21" s="9"/>
      <c r="B21" s="26"/>
    </row>
    <row r="51" spans="1:3" ht="15.75">
      <c r="A51" s="5" t="s">
        <v>24</v>
      </c>
      <c r="B51" s="23"/>
      <c r="C51" s="23"/>
    </row>
    <row r="67" ht="12.75">
      <c r="B67" t="s">
        <v>47</v>
      </c>
    </row>
    <row r="83" ht="12.75">
      <c r="B83" t="s">
        <v>47</v>
      </c>
    </row>
  </sheetData>
  <sheetProtection/>
  <printOptions/>
  <pageMargins left="0.787401575" right="0.787401575" top="0.8" bottom="0.984251969" header="0.5" footer="0.5"/>
  <pageSetup orientation="portrait" paperSize="9"/>
  <rowBreaks count="1" manualBreakCount="1">
    <brk id="49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0"/>
  <sheetViews>
    <sheetView zoomScaleSheetLayoutView="100" workbookViewId="0" topLeftCell="A4">
      <selection activeCell="I43" sqref="I43"/>
    </sheetView>
  </sheetViews>
  <sheetFormatPr defaultColWidth="11.00390625" defaultRowHeight="12.75"/>
  <cols>
    <col min="1" max="1" width="19.75390625" style="0" customWidth="1"/>
    <col min="2" max="2" width="10.875" style="0" customWidth="1"/>
    <col min="3" max="3" width="13.625" style="0" customWidth="1"/>
    <col min="4" max="4" width="6.375" style="0" customWidth="1"/>
    <col min="5" max="5" width="7.75390625" style="0" customWidth="1"/>
    <col min="6" max="6" width="6.125" style="0" customWidth="1"/>
    <col min="7" max="7" width="10.75390625" style="0" customWidth="1"/>
  </cols>
  <sheetData>
    <row r="1" ht="13.5" thickBot="1"/>
    <row r="2" spans="1:6" ht="16.5" thickBot="1">
      <c r="A2" s="17" t="s">
        <v>46</v>
      </c>
      <c r="B2" s="18"/>
      <c r="C2" s="18"/>
      <c r="D2" s="18"/>
      <c r="E2" s="18"/>
      <c r="F2" s="20"/>
    </row>
    <row r="5" ht="12.75">
      <c r="A5" s="38" t="s">
        <v>163</v>
      </c>
    </row>
    <row r="6" ht="12.75">
      <c r="A6" s="25" t="s">
        <v>50</v>
      </c>
    </row>
    <row r="8" spans="1:2" ht="12.75">
      <c r="A8" t="s">
        <v>18</v>
      </c>
      <c r="B8" s="1" t="s">
        <v>310</v>
      </c>
    </row>
    <row r="9" ht="12.75">
      <c r="A9" s="24" t="s">
        <v>403</v>
      </c>
    </row>
    <row r="10" ht="13.5" thickBot="1"/>
    <row r="11" spans="1:7" ht="12.75">
      <c r="A11" s="13" t="s">
        <v>4</v>
      </c>
      <c r="B11" s="140">
        <v>0</v>
      </c>
      <c r="C11" s="14" t="s">
        <v>13</v>
      </c>
      <c r="E11" s="138"/>
      <c r="F11" s="138"/>
      <c r="G11" s="139" t="s">
        <v>402</v>
      </c>
    </row>
    <row r="12" spans="1:6" ht="12.75">
      <c r="A12" s="3" t="s">
        <v>5</v>
      </c>
      <c r="B12" s="141">
        <v>2.7</v>
      </c>
      <c r="C12" s="4" t="s">
        <v>13</v>
      </c>
      <c r="F12" s="31"/>
    </row>
    <row r="13" spans="1:5" ht="12.75">
      <c r="A13" s="40" t="s">
        <v>164</v>
      </c>
      <c r="B13" s="142">
        <f>3.4*1.5</f>
        <v>5.1</v>
      </c>
      <c r="C13" s="4" t="s">
        <v>13</v>
      </c>
      <c r="E13" s="21" t="s">
        <v>165</v>
      </c>
    </row>
    <row r="14" spans="1:5" ht="12.75">
      <c r="A14" s="3" t="s">
        <v>6</v>
      </c>
      <c r="B14" s="142">
        <v>7.1</v>
      </c>
      <c r="C14" s="4" t="s">
        <v>13</v>
      </c>
      <c r="E14" s="1" t="s">
        <v>307</v>
      </c>
    </row>
    <row r="15" spans="1:3" ht="12.75">
      <c r="A15" s="3" t="s">
        <v>7</v>
      </c>
      <c r="B15" s="142">
        <v>6.43</v>
      </c>
      <c r="C15" s="4" t="s">
        <v>13</v>
      </c>
    </row>
    <row r="16" spans="1:3" ht="12.75">
      <c r="A16" s="3" t="s">
        <v>8</v>
      </c>
      <c r="B16" s="142">
        <v>6.77</v>
      </c>
      <c r="C16" s="4" t="s">
        <v>13</v>
      </c>
    </row>
    <row r="17" spans="1:3" ht="12.75">
      <c r="A17" s="3" t="s">
        <v>9</v>
      </c>
      <c r="B17" s="142">
        <v>7.53</v>
      </c>
      <c r="C17" s="4" t="s">
        <v>13</v>
      </c>
    </row>
    <row r="18" spans="1:3" ht="12.75">
      <c r="A18" s="3" t="s">
        <v>10</v>
      </c>
      <c r="B18" s="142">
        <v>7.32</v>
      </c>
      <c r="C18" s="4" t="s">
        <v>13</v>
      </c>
    </row>
    <row r="19" spans="1:3" ht="12.75">
      <c r="A19" s="3" t="s">
        <v>14</v>
      </c>
      <c r="B19" s="142">
        <v>15.43</v>
      </c>
      <c r="C19" s="4" t="s">
        <v>13</v>
      </c>
    </row>
    <row r="20" spans="1:3" ht="12.75">
      <c r="A20" s="3" t="s">
        <v>11</v>
      </c>
      <c r="B20" s="142">
        <v>14.65</v>
      </c>
      <c r="C20" s="4" t="s">
        <v>13</v>
      </c>
    </row>
    <row r="21" spans="1:3" ht="13.5" thickBot="1">
      <c r="A21" s="15" t="s">
        <v>12</v>
      </c>
      <c r="B21" s="143">
        <v>18.5</v>
      </c>
      <c r="C21" s="16" t="s">
        <v>13</v>
      </c>
    </row>
    <row r="44" ht="12.75">
      <c r="A44" s="38" t="s">
        <v>145</v>
      </c>
    </row>
    <row r="45" ht="12.75">
      <c r="B45" s="144">
        <v>41791</v>
      </c>
    </row>
    <row r="46" spans="1:3" ht="12.75">
      <c r="A46" s="21" t="s">
        <v>142</v>
      </c>
      <c r="B46" s="343">
        <f>(1.179+1.369)/2</f>
        <v>1.274</v>
      </c>
      <c r="C46" s="21" t="s">
        <v>141</v>
      </c>
    </row>
    <row r="47" spans="1:3" ht="12.75">
      <c r="A47" s="1" t="s">
        <v>313</v>
      </c>
      <c r="B47" s="343">
        <f>(1.409+1.598)/2</f>
        <v>1.5035</v>
      </c>
      <c r="C47" s="21" t="s">
        <v>141</v>
      </c>
    </row>
    <row r="48" spans="1:3" ht="12.75">
      <c r="A48" s="21" t="s">
        <v>143</v>
      </c>
      <c r="B48" s="343">
        <f>(0.779+0.95)/2</f>
        <v>0.8645</v>
      </c>
      <c r="C48" s="21" t="s">
        <v>141</v>
      </c>
    </row>
    <row r="49" spans="1:3" ht="12.75">
      <c r="A49" s="21" t="s">
        <v>35</v>
      </c>
      <c r="B49" s="138"/>
      <c r="C49" s="21" t="s">
        <v>139</v>
      </c>
    </row>
    <row r="50" ht="12.75">
      <c r="A50" s="311" t="s">
        <v>314</v>
      </c>
    </row>
  </sheetData>
  <sheetProtection/>
  <printOptions/>
  <pageMargins left="0.787401575" right="0.787401575" top="0.8" bottom="0.984251969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2"/>
  <sheetViews>
    <sheetView zoomScale="85" zoomScaleNormal="85" zoomScaleSheetLayoutView="85" workbookViewId="0" topLeftCell="A43">
      <selection activeCell="C28" sqref="C28"/>
    </sheetView>
  </sheetViews>
  <sheetFormatPr defaultColWidth="11.00390625" defaultRowHeight="12.75"/>
  <cols>
    <col min="1" max="1" width="16.625" style="125" customWidth="1"/>
    <col min="2" max="2" width="11.375" style="125" customWidth="1"/>
    <col min="3" max="3" width="11.25390625" style="125" customWidth="1"/>
    <col min="4" max="4" width="8.875" style="125" customWidth="1"/>
    <col min="5" max="5" width="12.375" style="125" customWidth="1"/>
    <col min="6" max="6" width="14.375" style="125" customWidth="1"/>
    <col min="7" max="7" width="11.00390625" style="125" customWidth="1"/>
    <col min="8" max="8" width="18.375" style="125" customWidth="1"/>
    <col min="9" max="9" width="11.00390625" style="125" customWidth="1"/>
    <col min="10" max="10" width="11.375" style="125" customWidth="1"/>
    <col min="11" max="11" width="11.00390625" style="125" customWidth="1"/>
    <col min="12" max="12" width="13.125" style="125" customWidth="1"/>
    <col min="13" max="16384" width="11.00390625" style="125" customWidth="1"/>
  </cols>
  <sheetData>
    <row r="1" ht="13.5" thickBot="1"/>
    <row r="2" spans="1:5" ht="18.75" thickBot="1">
      <c r="A2" s="235" t="s">
        <v>45</v>
      </c>
      <c r="B2" s="236"/>
      <c r="C2" s="236"/>
      <c r="D2" s="236"/>
      <c r="E2" s="237"/>
    </row>
    <row r="3" spans="7:8" ht="12.75">
      <c r="G3" s="238">
        <f>SUM(C10:C12)</f>
        <v>4</v>
      </c>
      <c r="H3" s="239" t="s">
        <v>27</v>
      </c>
    </row>
    <row r="4" spans="8:9" ht="12.75">
      <c r="H4" s="240" t="s">
        <v>74</v>
      </c>
      <c r="I4" s="241" t="str">
        <f>CONCATENATE(C10,C11,C12)</f>
        <v>211</v>
      </c>
    </row>
    <row r="5" spans="10:12" ht="12.75">
      <c r="J5" s="242"/>
      <c r="K5" s="242"/>
      <c r="L5" s="242"/>
    </row>
    <row r="6" spans="1:13" ht="15.75">
      <c r="A6" s="243" t="s">
        <v>86</v>
      </c>
      <c r="B6" s="244"/>
      <c r="H6" s="242"/>
      <c r="I6" s="245" t="s">
        <v>20</v>
      </c>
      <c r="J6" s="245" t="s">
        <v>42</v>
      </c>
      <c r="K6" s="245" t="s">
        <v>22</v>
      </c>
      <c r="L6" s="242"/>
      <c r="M6" s="245" t="s">
        <v>42</v>
      </c>
    </row>
    <row r="7" spans="8:13" ht="12.75">
      <c r="H7" s="246" t="s">
        <v>38</v>
      </c>
      <c r="I7" s="242" t="s">
        <v>39</v>
      </c>
      <c r="J7" s="242" t="s">
        <v>39</v>
      </c>
      <c r="K7" s="242" t="s">
        <v>39</v>
      </c>
      <c r="L7" s="242"/>
      <c r="M7" s="242" t="s">
        <v>398</v>
      </c>
    </row>
    <row r="8" spans="1:13" ht="15.75">
      <c r="A8" s="247" t="s">
        <v>15</v>
      </c>
      <c r="B8" s="248"/>
      <c r="C8" s="248"/>
      <c r="D8" s="249"/>
      <c r="H8" s="242" t="s">
        <v>20</v>
      </c>
      <c r="I8" s="242" t="s">
        <v>41</v>
      </c>
      <c r="J8" s="242" t="s">
        <v>41</v>
      </c>
      <c r="K8" s="242" t="s">
        <v>41</v>
      </c>
      <c r="L8" s="242"/>
      <c r="M8" s="242" t="s">
        <v>397</v>
      </c>
    </row>
    <row r="9" spans="1:12" ht="15.75">
      <c r="A9" s="250" t="s">
        <v>16</v>
      </c>
      <c r="B9" s="248"/>
      <c r="C9" s="231">
        <f>'Budget mensuel'!C19</f>
        <v>80</v>
      </c>
      <c r="D9" s="251" t="s">
        <v>25</v>
      </c>
      <c r="H9" s="252" t="s">
        <v>30</v>
      </c>
      <c r="I9" s="253">
        <f>IF($D$17=H9,'Coût énergies'!B13,0)</f>
        <v>0</v>
      </c>
      <c r="J9" s="253">
        <f>IF($D$18=H9,'Coût énergies'!B13,0)</f>
        <v>0</v>
      </c>
      <c r="K9" s="253"/>
      <c r="L9" s="242"/>
    </row>
    <row r="10" spans="1:12" ht="15.75">
      <c r="A10" s="254" t="s">
        <v>17</v>
      </c>
      <c r="B10" s="255"/>
      <c r="C10" s="232">
        <f>'Budget mensuel'!C14</f>
        <v>2</v>
      </c>
      <c r="D10" s="256" t="s">
        <v>67</v>
      </c>
      <c r="H10" s="252" t="s">
        <v>29</v>
      </c>
      <c r="I10" s="253">
        <f>IF($D$17=H10,'Coût énergies'!B12,0)</f>
        <v>0</v>
      </c>
      <c r="J10" s="253">
        <f>IF($D$18=H10,'Coût énergies'!B12,0)</f>
        <v>0</v>
      </c>
      <c r="K10" s="253"/>
      <c r="L10" s="242"/>
    </row>
    <row r="11" spans="1:12" ht="15.75">
      <c r="A11" s="254"/>
      <c r="B11" s="255"/>
      <c r="C11" s="232">
        <f>'Budget mensuel'!C15</f>
        <v>1</v>
      </c>
      <c r="D11" s="256" t="s">
        <v>68</v>
      </c>
      <c r="H11" s="252" t="s">
        <v>33</v>
      </c>
      <c r="I11" s="253">
        <f>IF($D$17=H11,'Coût énergies'!B16,0)</f>
        <v>0</v>
      </c>
      <c r="J11" s="253">
        <f>IF($D$18=H11,'Coût énergies'!B16,0)</f>
        <v>0</v>
      </c>
      <c r="K11" s="253"/>
      <c r="L11" s="242"/>
    </row>
    <row r="12" spans="1:12" ht="15.75">
      <c r="A12" s="254"/>
      <c r="B12" s="255"/>
      <c r="C12" s="232">
        <f>'Budget mensuel'!C16</f>
        <v>1</v>
      </c>
      <c r="D12" s="256" t="s">
        <v>69</v>
      </c>
      <c r="H12" s="252" t="s">
        <v>32</v>
      </c>
      <c r="I12" s="253">
        <f>IF($D$17=H12,'Coût énergies'!B15,0)</f>
        <v>0</v>
      </c>
      <c r="J12" s="253">
        <f>IF($D$18=H12,'Coût énergies'!B15,0)</f>
        <v>0</v>
      </c>
      <c r="K12" s="253"/>
      <c r="L12" s="242"/>
    </row>
    <row r="13" spans="1:12" ht="15.75">
      <c r="A13" s="254"/>
      <c r="B13" s="255"/>
      <c r="C13" s="131"/>
      <c r="D13" s="131"/>
      <c r="H13" s="252" t="s">
        <v>35</v>
      </c>
      <c r="I13" s="253">
        <f>IF($D$17=H13,'Coût énergies'!B19,0)</f>
        <v>0</v>
      </c>
      <c r="J13" s="253">
        <f>IF($D$18=H13,'Coût énergies'!B19,0)</f>
        <v>0</v>
      </c>
      <c r="K13" s="253">
        <f>IF($D$19=H13,'Coût énergies'!B19,0)</f>
        <v>15.43</v>
      </c>
      <c r="L13" s="242"/>
    </row>
    <row r="14" spans="1:12" ht="15.75">
      <c r="A14" s="254" t="s">
        <v>49</v>
      </c>
      <c r="B14" s="255"/>
      <c r="C14" s="232">
        <f>'Budget mensuel'!D21+IF(D17=H13,'Budget mensuel'!D23/2.58,'Budget mensuel'!D23)</f>
        <v>160</v>
      </c>
      <c r="D14" s="257" t="s">
        <v>26</v>
      </c>
      <c r="H14" s="252" t="s">
        <v>34</v>
      </c>
      <c r="I14" s="253">
        <f>IF($D$17=H14,'Coût énergies'!B17,0)</f>
        <v>7.53</v>
      </c>
      <c r="J14" s="253">
        <f>IF($D$18=H14,'Coût énergies'!B17,0)</f>
        <v>7.53</v>
      </c>
      <c r="K14" s="253">
        <f>IF($D$19=H14,'Coût énergies'!B17,0)</f>
        <v>0</v>
      </c>
      <c r="L14" s="242"/>
    </row>
    <row r="15" spans="1:12" ht="15.75">
      <c r="A15" s="258" t="s">
        <v>48</v>
      </c>
      <c r="B15" s="255"/>
      <c r="C15" s="131"/>
      <c r="D15" s="256"/>
      <c r="E15" s="257"/>
      <c r="H15" s="252" t="s">
        <v>36</v>
      </c>
      <c r="I15" s="253">
        <f>IF($D$17=H15,'Coût énergies'!B20,0)</f>
        <v>0</v>
      </c>
      <c r="J15" s="253">
        <f>IF($D$18=H15,'Coût énergies'!B20,0)</f>
        <v>0</v>
      </c>
      <c r="K15" s="253">
        <f>IF($D$19=H15,'Coût énergies'!B20,0)</f>
        <v>0</v>
      </c>
      <c r="L15" s="242"/>
    </row>
    <row r="16" spans="3:12" ht="15.75">
      <c r="C16" s="131"/>
      <c r="D16" s="259"/>
      <c r="H16" s="305" t="s">
        <v>304</v>
      </c>
      <c r="I16" s="253">
        <f>IF($D$17=H16,'Coût énergies'!B18,0)</f>
        <v>0</v>
      </c>
      <c r="J16" s="253">
        <f>IF($D$18=H16,'Coût énergies'!B21,0)</f>
        <v>0</v>
      </c>
      <c r="L16" s="242"/>
    </row>
    <row r="17" spans="1:12" ht="12.75">
      <c r="A17" s="254" t="s">
        <v>19</v>
      </c>
      <c r="B17" s="260" t="s">
        <v>20</v>
      </c>
      <c r="D17" s="233" t="str">
        <f>'Budget mensuel'!C25</f>
        <v>Gaz de Réseau</v>
      </c>
      <c r="H17" s="252" t="s">
        <v>31</v>
      </c>
      <c r="I17" s="253">
        <f>IF($D$17=H17,'Coût énergies'!B14,0)</f>
        <v>0</v>
      </c>
      <c r="J17" s="253">
        <f>IF($D$18=H17,'Coût énergies'!B18,0)</f>
        <v>0</v>
      </c>
      <c r="K17" s="253"/>
      <c r="L17" s="242"/>
    </row>
    <row r="18" spans="1:12" ht="12.75">
      <c r="A18" s="254"/>
      <c r="B18" s="260" t="s">
        <v>21</v>
      </c>
      <c r="D18" s="233" t="str">
        <f>'Budget mensuel'!$C$26</f>
        <v>Gaz de Réseau</v>
      </c>
      <c r="H18" s="252" t="s">
        <v>37</v>
      </c>
      <c r="I18" s="253">
        <f>IF($D$17=H18,'Coût énergies'!B21,0)</f>
        <v>0</v>
      </c>
      <c r="J18" s="253">
        <f>IF($D$18=H18,'Coût énergies'!B21,0)</f>
        <v>0</v>
      </c>
      <c r="K18" s="253"/>
      <c r="L18" s="242"/>
    </row>
    <row r="19" spans="1:12" ht="15.75">
      <c r="A19" s="261"/>
      <c r="B19" s="260" t="s">
        <v>22</v>
      </c>
      <c r="D19" s="233" t="str">
        <f>'Budget mensuel'!$C$27</f>
        <v>Electricité</v>
      </c>
      <c r="H19" s="252" t="s">
        <v>28</v>
      </c>
      <c r="I19" s="253">
        <f>IF($D$17=H19,'Coût énergies'!B11,0)</f>
        <v>0</v>
      </c>
      <c r="J19" s="253">
        <f>IF($D$18=H19,'Coût énergies'!B19*40%,0)</f>
        <v>0</v>
      </c>
      <c r="K19" s="253"/>
      <c r="L19" s="242"/>
    </row>
    <row r="20" spans="2:12" ht="12.75">
      <c r="B20" s="260" t="s">
        <v>275</v>
      </c>
      <c r="D20" s="233" t="str">
        <f>'Budget mensuel'!C28</f>
        <v>Classique, normal</v>
      </c>
      <c r="H20" s="242"/>
      <c r="I20" s="245">
        <f>MAX(I9:I19)</f>
        <v>7.53</v>
      </c>
      <c r="J20" s="245">
        <f>IF(D21="Collective",2*MAX(J9:J19),MAX(J9:J19))</f>
        <v>15.06</v>
      </c>
      <c r="K20" s="245">
        <f>MAX(K9:K19)</f>
        <v>15.43</v>
      </c>
      <c r="L20" s="242"/>
    </row>
    <row r="21" spans="3:12" ht="12.75">
      <c r="C21" s="341" t="s">
        <v>42</v>
      </c>
      <c r="D21" s="260" t="str">
        <f>'Budget mensuel'!C30</f>
        <v>Collective</v>
      </c>
      <c r="H21" s="242"/>
      <c r="I21" s="245"/>
      <c r="J21" s="342" t="s">
        <v>399</v>
      </c>
      <c r="K21" s="245"/>
      <c r="L21" s="242"/>
    </row>
    <row r="22" spans="4:12" ht="12.75">
      <c r="D22" s="260"/>
      <c r="H22" s="242"/>
      <c r="I22" s="242"/>
      <c r="J22" s="242"/>
      <c r="K22" s="242"/>
      <c r="L22" s="242"/>
    </row>
    <row r="23" spans="1:12" ht="15.75">
      <c r="A23" s="243" t="s">
        <v>52</v>
      </c>
      <c r="B23" s="244"/>
      <c r="H23" s="262"/>
      <c r="I23" s="262"/>
      <c r="J23" s="262"/>
      <c r="K23" s="262"/>
      <c r="L23" s="262"/>
    </row>
    <row r="24" spans="1:12" ht="15.75">
      <c r="A24" s="263"/>
      <c r="B24" s="264"/>
      <c r="C24" s="131"/>
      <c r="D24" s="131"/>
      <c r="E24" s="131"/>
      <c r="F24" s="131"/>
      <c r="H24" s="240" t="s">
        <v>42</v>
      </c>
      <c r="I24" s="242"/>
      <c r="J24" s="262"/>
      <c r="K24" s="246" t="s">
        <v>38</v>
      </c>
      <c r="L24" s="262"/>
    </row>
    <row r="25" spans="1:12" ht="12.75">
      <c r="A25" s="265" t="s">
        <v>170</v>
      </c>
      <c r="B25" s="264"/>
      <c r="C25" s="145">
        <f>IF('Budget mensuel'!C105&gt;0,'Budget mensuel'!C105*12,IF('Budget mensuel'!C69=0,150+C14*C9*I20/100,IF('Budget mensuel'!D72="Non",150+C14*C9*I20/100,0)))</f>
        <v>1113.8400000000001</v>
      </c>
      <c r="D25" s="265" t="s">
        <v>78</v>
      </c>
      <c r="E25" s="266" t="s">
        <v>171</v>
      </c>
      <c r="F25" s="131"/>
      <c r="H25" s="242" t="s">
        <v>232</v>
      </c>
      <c r="I25" s="242">
        <f>IF('Budget mensuel'!C105&gt;0,1,0)</f>
        <v>0</v>
      </c>
      <c r="J25" s="262"/>
      <c r="K25" s="242" t="s">
        <v>51</v>
      </c>
      <c r="L25" s="262"/>
    </row>
    <row r="26" spans="1:12" ht="12.75">
      <c r="A26" s="265" t="s">
        <v>21</v>
      </c>
      <c r="B26" s="264"/>
      <c r="C26" s="146">
        <f>IF(I25*I26+I27*I28&gt;0,0,(IF('Budget mensuel'!C69=0,900*G3*J20/100,IF('Budget mensuel'!D71="Non",900*G3*J20/100,0))))</f>
        <v>542.16</v>
      </c>
      <c r="D26" s="265" t="s">
        <v>78</v>
      </c>
      <c r="E26" s="131"/>
      <c r="F26" s="131"/>
      <c r="H26" s="242" t="s">
        <v>233</v>
      </c>
      <c r="I26" s="242">
        <f>IF('Budget mensuel'!C107='Facture énergie'!K40,1,0)</f>
        <v>0</v>
      </c>
      <c r="J26" s="242"/>
      <c r="K26" s="252" t="s">
        <v>35</v>
      </c>
      <c r="L26" s="242"/>
    </row>
    <row r="27" spans="1:12" s="131" customFormat="1" ht="12.75">
      <c r="A27" s="265" t="s">
        <v>22</v>
      </c>
      <c r="B27" s="260"/>
      <c r="C27" s="295">
        <f>IF('Budget mensuel'!C27="Electricité",IF('Budget mensuel'!C106&gt;0,"compris dans élec",1000*K20/100),1000*K20/100)</f>
        <v>154.3</v>
      </c>
      <c r="D27" s="265" t="s">
        <v>78</v>
      </c>
      <c r="E27" s="125"/>
      <c r="F27" s="125"/>
      <c r="H27" s="242" t="s">
        <v>231</v>
      </c>
      <c r="I27" s="242">
        <f>IF('Budget mensuel'!C106&gt;0,1,0)</f>
        <v>0</v>
      </c>
      <c r="J27" s="242"/>
      <c r="K27" s="252" t="s">
        <v>34</v>
      </c>
      <c r="L27" s="242"/>
    </row>
    <row r="28" spans="1:12" s="131" customFormat="1" ht="12.75">
      <c r="A28" s="267" t="s">
        <v>40</v>
      </c>
      <c r="B28" s="268"/>
      <c r="C28" s="147">
        <f>IF('Budget mensuel'!C106&gt;0,'Budget mensuel'!C106*12,N34*'Coût énergies'!B19/100+80)</f>
        <v>496.61</v>
      </c>
      <c r="D28" s="265" t="s">
        <v>78</v>
      </c>
      <c r="E28" s="266" t="s">
        <v>172</v>
      </c>
      <c r="F28" s="125"/>
      <c r="H28" s="242" t="s">
        <v>234</v>
      </c>
      <c r="I28" s="242">
        <f>IF('Budget mensuel'!C107='Facture énergie'!K41,1,0)</f>
        <v>0</v>
      </c>
      <c r="J28" s="242"/>
      <c r="K28" s="252" t="s">
        <v>287</v>
      </c>
      <c r="L28" s="242"/>
    </row>
    <row r="29" spans="1:12" s="131" customFormat="1" ht="12.75">
      <c r="A29" s="267"/>
      <c r="B29" s="268"/>
      <c r="C29" s="148"/>
      <c r="E29" s="125"/>
      <c r="F29" s="125"/>
      <c r="I29" s="242"/>
      <c r="J29" s="242"/>
      <c r="K29" s="252"/>
      <c r="L29" s="242"/>
    </row>
    <row r="30" spans="1:11" ht="13.5">
      <c r="A30" s="269" t="s">
        <v>43</v>
      </c>
      <c r="B30" s="270"/>
      <c r="C30" s="149">
        <f>SUM(C25:C29)</f>
        <v>2306.91</v>
      </c>
      <c r="D30" s="271" t="s">
        <v>79</v>
      </c>
      <c r="E30" s="271"/>
      <c r="H30" s="246" t="s">
        <v>22</v>
      </c>
      <c r="I30" s="242"/>
      <c r="K30" s="246" t="s">
        <v>271</v>
      </c>
    </row>
    <row r="31" spans="1:14" ht="13.5" customHeight="1">
      <c r="A31" s="269"/>
      <c r="B31" s="272"/>
      <c r="C31" s="148"/>
      <c r="D31" s="148"/>
      <c r="E31" s="131"/>
      <c r="H31" s="242" t="s">
        <v>232</v>
      </c>
      <c r="I31" s="242">
        <f>IF('Budget mensuel'!C111&gt;0,1,0)</f>
        <v>0</v>
      </c>
      <c r="K31" s="242" t="s">
        <v>274</v>
      </c>
      <c r="M31" s="242">
        <f>1700+350*G3</f>
        <v>3100</v>
      </c>
      <c r="N31" s="242"/>
    </row>
    <row r="32" spans="1:14" ht="13.5" customHeight="1">
      <c r="A32" s="269"/>
      <c r="B32" s="272"/>
      <c r="C32" s="148"/>
      <c r="D32" s="148"/>
      <c r="E32" s="131"/>
      <c r="H32" s="242" t="s">
        <v>233</v>
      </c>
      <c r="I32" s="242">
        <f>IF('Budget mensuel'!C113='Facture énergie'!K46,1,0)</f>
        <v>1</v>
      </c>
      <c r="K32" s="252" t="s">
        <v>272</v>
      </c>
      <c r="M32" s="242">
        <f>1500+300*G3</f>
        <v>2700</v>
      </c>
      <c r="N32" s="242"/>
    </row>
    <row r="33" spans="1:14" ht="13.5" customHeight="1">
      <c r="A33" s="269"/>
      <c r="B33" s="272"/>
      <c r="C33" s="148"/>
      <c r="D33" s="148"/>
      <c r="E33" s="131"/>
      <c r="H33" s="242" t="s">
        <v>231</v>
      </c>
      <c r="I33" s="242">
        <f>IF('Budget mensuel'!C112&gt;0,1,0)</f>
        <v>0</v>
      </c>
      <c r="K33" s="252" t="s">
        <v>273</v>
      </c>
      <c r="M33" s="242">
        <f>1300+250*G3</f>
        <v>2300</v>
      </c>
      <c r="N33" s="242"/>
    </row>
    <row r="34" spans="1:15" ht="13.5" customHeight="1">
      <c r="A34" s="269"/>
      <c r="B34" s="272"/>
      <c r="C34" s="148"/>
      <c r="D34" s="148"/>
      <c r="E34" s="131"/>
      <c r="H34" s="242" t="s">
        <v>234</v>
      </c>
      <c r="I34" s="242">
        <f>IF('Budget mensuel'!C113='Facture énergie'!K47,1,0)</f>
        <v>1</v>
      </c>
      <c r="M34" s="242" t="s">
        <v>276</v>
      </c>
      <c r="N34" s="242">
        <f>IF(D20=K31,M31,IF(D20=K32,M32,M33))</f>
        <v>2700</v>
      </c>
      <c r="O34" s="242" t="s">
        <v>277</v>
      </c>
    </row>
    <row r="35" spans="8:11" ht="13.5" customHeight="1">
      <c r="H35" s="273"/>
      <c r="K35" s="274" t="s">
        <v>205</v>
      </c>
    </row>
    <row r="36" ht="13.5" customHeight="1">
      <c r="K36" s="275" t="s">
        <v>206</v>
      </c>
    </row>
    <row r="37" ht="13.5" customHeight="1">
      <c r="K37" s="275" t="s">
        <v>207</v>
      </c>
    </row>
    <row r="39" ht="12.75">
      <c r="K39" s="240" t="s">
        <v>235</v>
      </c>
    </row>
    <row r="40" ht="12.75">
      <c r="K40" s="276" t="s">
        <v>229</v>
      </c>
    </row>
    <row r="41" ht="12.75">
      <c r="K41" s="276" t="s">
        <v>230</v>
      </c>
    </row>
    <row r="42" ht="12.75">
      <c r="K42" s="276" t="s">
        <v>236</v>
      </c>
    </row>
    <row r="52" spans="8:10" ht="12.75">
      <c r="H52" s="277" t="s">
        <v>185</v>
      </c>
      <c r="J52" s="240" t="s">
        <v>168</v>
      </c>
    </row>
    <row r="53" spans="1:14" ht="15.75">
      <c r="A53" s="243" t="s">
        <v>166</v>
      </c>
      <c r="B53" s="244"/>
      <c r="H53" s="240" t="s">
        <v>186</v>
      </c>
      <c r="J53" s="242" t="s">
        <v>303</v>
      </c>
      <c r="K53" s="240"/>
      <c r="L53" s="240" t="s">
        <v>147</v>
      </c>
      <c r="M53" s="240" t="s">
        <v>144</v>
      </c>
      <c r="N53" s="278"/>
    </row>
    <row r="54" spans="4:14" ht="12.75">
      <c r="D54" s="260"/>
      <c r="H54" s="278" t="s">
        <v>150</v>
      </c>
      <c r="J54" s="278">
        <f>6*M54/100+0.03</f>
        <v>0.10644</v>
      </c>
      <c r="K54" s="278" t="s">
        <v>139</v>
      </c>
      <c r="L54" s="278">
        <f>IF($D$55=H54,J54,0)</f>
        <v>0</v>
      </c>
      <c r="M54" s="278">
        <f>'Coût énergies'!B46</f>
        <v>1.274</v>
      </c>
      <c r="N54" s="278" t="s">
        <v>141</v>
      </c>
    </row>
    <row r="55" spans="1:14" ht="12.75">
      <c r="A55" s="265" t="s">
        <v>179</v>
      </c>
      <c r="C55" s="125">
        <f>'Budget mensuel'!C88</f>
        <v>20</v>
      </c>
      <c r="D55" s="260" t="str">
        <f>'Budget mensuel'!C90</f>
        <v>Abonnement train/bus</v>
      </c>
      <c r="H55" s="278" t="s">
        <v>151</v>
      </c>
      <c r="J55" s="278">
        <f>7*M55/100+0.03</f>
        <v>0.135245</v>
      </c>
      <c r="K55" s="278" t="s">
        <v>139</v>
      </c>
      <c r="L55" s="278">
        <f>IF($D$55=H55,J55,0)</f>
        <v>0</v>
      </c>
      <c r="M55" s="278">
        <f>'Coût énergies'!B47</f>
        <v>1.5035</v>
      </c>
      <c r="N55" s="278" t="s">
        <v>141</v>
      </c>
    </row>
    <row r="56" spans="1:14" ht="12.75">
      <c r="A56" s="279" t="s">
        <v>146</v>
      </c>
      <c r="H56" s="278" t="s">
        <v>152</v>
      </c>
      <c r="J56" s="278">
        <f>8.4*M56/100+0.03</f>
        <v>0.10261800000000001</v>
      </c>
      <c r="K56" s="278" t="s">
        <v>139</v>
      </c>
      <c r="L56" s="278">
        <f>IF($D$55=H56,J56,0)</f>
        <v>0</v>
      </c>
      <c r="M56" s="278">
        <f>'Coût énergies'!B48</f>
        <v>0.8645</v>
      </c>
      <c r="N56" s="278" t="s">
        <v>141</v>
      </c>
    </row>
    <row r="57" spans="1:14" ht="12.75">
      <c r="A57" s="265"/>
      <c r="H57" s="278" t="s">
        <v>153</v>
      </c>
      <c r="J57" s="280">
        <f>M57+0.03</f>
        <v>0.03</v>
      </c>
      <c r="K57" s="278" t="s">
        <v>139</v>
      </c>
      <c r="L57" s="278">
        <f>IF($D$55=H57,J57,0)</f>
        <v>0</v>
      </c>
      <c r="M57" s="278">
        <f>'Coût énergies'!B49</f>
        <v>0</v>
      </c>
      <c r="N57" s="278" t="s">
        <v>139</v>
      </c>
    </row>
    <row r="58" spans="1:14" ht="12.75">
      <c r="A58" s="265" t="s">
        <v>182</v>
      </c>
      <c r="C58" s="125">
        <f>'Budget mensuel'!C89</f>
        <v>5</v>
      </c>
      <c r="D58" s="260" t="s">
        <v>138</v>
      </c>
      <c r="H58" s="278" t="s">
        <v>219</v>
      </c>
      <c r="J58" s="278">
        <f>IF('Budget mensuel'!C115&gt;0,0,2)</f>
        <v>2</v>
      </c>
      <c r="K58" s="278" t="s">
        <v>140</v>
      </c>
      <c r="L58" s="278">
        <v>0</v>
      </c>
      <c r="M58" s="278"/>
      <c r="N58" s="278"/>
    </row>
    <row r="59" spans="1:14" ht="12.75">
      <c r="A59" s="233" t="s">
        <v>149</v>
      </c>
      <c r="H59" s="278" t="s">
        <v>155</v>
      </c>
      <c r="J59" s="278">
        <v>0</v>
      </c>
      <c r="K59" s="278" t="s">
        <v>139</v>
      </c>
      <c r="L59" s="278">
        <f>IF($D$55=H59,J59,0)</f>
        <v>0</v>
      </c>
      <c r="M59" s="278"/>
      <c r="N59" s="278"/>
    </row>
    <row r="60" spans="10:14" ht="12.75">
      <c r="J60" s="278"/>
      <c r="K60" s="278"/>
      <c r="L60" s="278"/>
      <c r="M60" s="278"/>
      <c r="N60" s="278"/>
    </row>
    <row r="61" spans="1:14" ht="13.5">
      <c r="A61" s="269" t="s">
        <v>181</v>
      </c>
      <c r="B61" s="270"/>
      <c r="E61" s="149">
        <f>IF(D55=H58,J58*C55,C55*2*C58*4*L61)</f>
        <v>40</v>
      </c>
      <c r="F61" s="271" t="s">
        <v>81</v>
      </c>
      <c r="J61" s="281"/>
      <c r="K61" s="282" t="s">
        <v>148</v>
      </c>
      <c r="L61" s="283">
        <f>MAX(L54:L59)</f>
        <v>0</v>
      </c>
      <c r="M61" s="284" t="s">
        <v>139</v>
      </c>
      <c r="N61" s="278"/>
    </row>
    <row r="63" spans="8:10" ht="12.75">
      <c r="H63" s="277" t="s">
        <v>187</v>
      </c>
      <c r="J63" s="240" t="s">
        <v>168</v>
      </c>
    </row>
    <row r="64" spans="1:14" ht="12.75">
      <c r="A64" s="265" t="s">
        <v>180</v>
      </c>
      <c r="C64" s="125">
        <f>'Budget mensuel'!D88</f>
        <v>10</v>
      </c>
      <c r="D64" s="260" t="str">
        <f>'Budget mensuel'!D91</f>
        <v>Voiture diesel 6L/100km</v>
      </c>
      <c r="H64" s="240" t="s">
        <v>188</v>
      </c>
      <c r="J64" s="242" t="s">
        <v>303</v>
      </c>
      <c r="K64" s="240"/>
      <c r="L64" s="240" t="s">
        <v>147</v>
      </c>
      <c r="M64" s="240" t="s">
        <v>144</v>
      </c>
      <c r="N64" s="278"/>
    </row>
    <row r="65" spans="1:14" ht="12.75">
      <c r="A65" s="279" t="s">
        <v>146</v>
      </c>
      <c r="H65" s="278" t="s">
        <v>150</v>
      </c>
      <c r="J65" s="278">
        <f>6*M65/100+0.03</f>
        <v>0.10644</v>
      </c>
      <c r="K65" s="278" t="s">
        <v>139</v>
      </c>
      <c r="L65" s="278">
        <f>IF($D$64=H65,J65,0)</f>
        <v>0.10644</v>
      </c>
      <c r="M65" s="278">
        <f>M54</f>
        <v>1.274</v>
      </c>
      <c r="N65" s="278" t="s">
        <v>141</v>
      </c>
    </row>
    <row r="66" spans="1:14" ht="12.75">
      <c r="A66" s="265"/>
      <c r="H66" s="278" t="s">
        <v>151</v>
      </c>
      <c r="J66" s="278">
        <f>7*M66/100+0.03</f>
        <v>0.135245</v>
      </c>
      <c r="K66" s="278" t="s">
        <v>139</v>
      </c>
      <c r="L66" s="278">
        <f>IF($D$64=H66,J66,0)</f>
        <v>0</v>
      </c>
      <c r="M66" s="278">
        <f>M55</f>
        <v>1.5035</v>
      </c>
      <c r="N66" s="278" t="s">
        <v>141</v>
      </c>
    </row>
    <row r="67" spans="1:14" ht="12.75">
      <c r="A67" s="265" t="s">
        <v>183</v>
      </c>
      <c r="C67" s="125">
        <f>'Budget mensuel'!D89</f>
        <v>5</v>
      </c>
      <c r="D67" s="260" t="s">
        <v>138</v>
      </c>
      <c r="H67" s="278" t="s">
        <v>152</v>
      </c>
      <c r="J67" s="278">
        <f>8.4*M67/100+0.03</f>
        <v>0.10261800000000001</v>
      </c>
      <c r="K67" s="278" t="s">
        <v>139</v>
      </c>
      <c r="L67" s="278">
        <f>IF($D$64=H67,J67,0)</f>
        <v>0</v>
      </c>
      <c r="M67" s="278">
        <f>M56</f>
        <v>0.8645</v>
      </c>
      <c r="N67" s="278" t="s">
        <v>141</v>
      </c>
    </row>
    <row r="68" spans="1:14" ht="12.75">
      <c r="A68" s="233" t="s">
        <v>149</v>
      </c>
      <c r="H68" s="278" t="s">
        <v>153</v>
      </c>
      <c r="J68" s="280">
        <f>M68+0.03</f>
        <v>0.03</v>
      </c>
      <c r="K68" s="278" t="s">
        <v>139</v>
      </c>
      <c r="L68" s="278">
        <f>IF($D$64=H68,J68,0)</f>
        <v>0</v>
      </c>
      <c r="M68" s="278">
        <f>M57</f>
        <v>0</v>
      </c>
      <c r="N68" s="278" t="s">
        <v>139</v>
      </c>
    </row>
    <row r="69" spans="8:14" ht="12.75">
      <c r="H69" s="278" t="s">
        <v>154</v>
      </c>
      <c r="J69" s="278">
        <f>IF('Budget mensuel'!C115&gt;0,0,2)</f>
        <v>2</v>
      </c>
      <c r="K69" s="278" t="s">
        <v>140</v>
      </c>
      <c r="L69" s="278">
        <v>0</v>
      </c>
      <c r="M69" s="278"/>
      <c r="N69" s="278"/>
    </row>
    <row r="70" spans="1:14" ht="13.5">
      <c r="A70" s="269" t="s">
        <v>184</v>
      </c>
      <c r="B70" s="270"/>
      <c r="E70" s="149">
        <f>IF(D64=H69,J69*C64,C64*2*C67*4*L72)</f>
        <v>42.576</v>
      </c>
      <c r="F70" s="271" t="s">
        <v>81</v>
      </c>
      <c r="H70" s="278" t="s">
        <v>155</v>
      </c>
      <c r="J70" s="278">
        <v>0</v>
      </c>
      <c r="K70" s="278" t="s">
        <v>139</v>
      </c>
      <c r="L70" s="278">
        <f>IF($D$64=H70,J70,0)</f>
        <v>0</v>
      </c>
      <c r="M70" s="278"/>
      <c r="N70" s="278"/>
    </row>
    <row r="71" spans="10:14" ht="12.75">
      <c r="J71" s="278"/>
      <c r="K71" s="278"/>
      <c r="L71" s="278"/>
      <c r="M71" s="278"/>
      <c r="N71" s="278"/>
    </row>
    <row r="72" spans="10:14" ht="12.75">
      <c r="J72" s="281"/>
      <c r="K72" s="282" t="s">
        <v>148</v>
      </c>
      <c r="L72" s="283">
        <f>MAX(L65:L70)</f>
        <v>0.10644</v>
      </c>
      <c r="M72" s="284" t="s">
        <v>139</v>
      </c>
      <c r="N72" s="278"/>
    </row>
    <row r="74" spans="8:13" ht="12.75">
      <c r="H74" s="277" t="s">
        <v>162</v>
      </c>
      <c r="L74" s="240" t="s">
        <v>147</v>
      </c>
      <c r="M74" s="240" t="s">
        <v>144</v>
      </c>
    </row>
    <row r="75" spans="1:14" ht="12.75">
      <c r="A75" s="285" t="s">
        <v>156</v>
      </c>
      <c r="C75" s="234">
        <f>'Budget mensuel'!C93</f>
        <v>10000</v>
      </c>
      <c r="D75" s="260" t="s">
        <v>159</v>
      </c>
      <c r="H75" s="278" t="s">
        <v>150</v>
      </c>
      <c r="J75" s="278">
        <f>6*M75/100+0.03</f>
        <v>0.10644</v>
      </c>
      <c r="K75" s="278" t="s">
        <v>139</v>
      </c>
      <c r="L75" s="278">
        <f>IF($C$77=H75,J75,0)</f>
        <v>0.10644</v>
      </c>
      <c r="M75" s="278">
        <f aca="true" t="shared" si="0" ref="M75:N80">M54</f>
        <v>1.274</v>
      </c>
      <c r="N75" s="278" t="str">
        <f t="shared" si="0"/>
        <v>€ / L</v>
      </c>
    </row>
    <row r="76" spans="8:14" ht="12.75">
      <c r="H76" s="278" t="s">
        <v>151</v>
      </c>
      <c r="J76" s="278">
        <f>7*M76/100+0.03</f>
        <v>0.135245</v>
      </c>
      <c r="K76" s="278" t="s">
        <v>139</v>
      </c>
      <c r="L76" s="278">
        <f>IF($C$77=H76,J76,0)</f>
        <v>0</v>
      </c>
      <c r="M76" s="278">
        <f t="shared" si="0"/>
        <v>1.5035</v>
      </c>
      <c r="N76" s="278" t="str">
        <f t="shared" si="0"/>
        <v>€ / L</v>
      </c>
    </row>
    <row r="77" spans="1:14" ht="12.75">
      <c r="A77" s="260" t="s">
        <v>160</v>
      </c>
      <c r="C77" s="125" t="str">
        <f>'Budget mensuel'!C94</f>
        <v>Voiture diesel 6L/100km</v>
      </c>
      <c r="H77" s="278" t="s">
        <v>152</v>
      </c>
      <c r="J77" s="278">
        <f>8.4*M77/100+0.03</f>
        <v>0.10261800000000001</v>
      </c>
      <c r="K77" s="278" t="s">
        <v>139</v>
      </c>
      <c r="L77" s="278">
        <f>IF($C$77=H77,J77,0)</f>
        <v>0</v>
      </c>
      <c r="M77" s="278">
        <f t="shared" si="0"/>
        <v>0.8645</v>
      </c>
      <c r="N77" s="278" t="str">
        <f t="shared" si="0"/>
        <v>€ / L</v>
      </c>
    </row>
    <row r="78" spans="8:14" ht="12.75">
      <c r="H78" s="278" t="s">
        <v>153</v>
      </c>
      <c r="J78" s="280">
        <f>M78+0.03</f>
        <v>0.03</v>
      </c>
      <c r="K78" s="278" t="s">
        <v>139</v>
      </c>
      <c r="L78" s="278">
        <f>IF($C$77=H78,J78,0)</f>
        <v>0</v>
      </c>
      <c r="M78" s="278">
        <f t="shared" si="0"/>
        <v>0</v>
      </c>
      <c r="N78" s="278" t="str">
        <f t="shared" si="0"/>
        <v>€ / km</v>
      </c>
    </row>
    <row r="79" spans="1:14" ht="13.5">
      <c r="A79" s="269" t="s">
        <v>161</v>
      </c>
      <c r="B79" s="270"/>
      <c r="E79" s="149">
        <f>IF(C77=H79,0,C75*L82/12)</f>
        <v>88.7</v>
      </c>
      <c r="F79" s="271" t="s">
        <v>81</v>
      </c>
      <c r="H79" s="278" t="s">
        <v>154</v>
      </c>
      <c r="J79" s="278">
        <f>2</f>
        <v>2</v>
      </c>
      <c r="K79" s="278" t="s">
        <v>140</v>
      </c>
      <c r="L79" s="278">
        <v>0</v>
      </c>
      <c r="M79" s="278">
        <f t="shared" si="0"/>
        <v>0</v>
      </c>
      <c r="N79" s="278">
        <f t="shared" si="0"/>
        <v>0</v>
      </c>
    </row>
    <row r="80" spans="8:14" ht="12.75">
      <c r="H80" s="278" t="s">
        <v>155</v>
      </c>
      <c r="J80" s="278">
        <v>0</v>
      </c>
      <c r="K80" s="278" t="s">
        <v>139</v>
      </c>
      <c r="L80" s="278">
        <v>0</v>
      </c>
      <c r="M80" s="278">
        <f t="shared" si="0"/>
        <v>0</v>
      </c>
      <c r="N80" s="278">
        <f t="shared" si="0"/>
        <v>0</v>
      </c>
    </row>
    <row r="81" ht="12.75">
      <c r="L81" s="278"/>
    </row>
    <row r="82" spans="10:13" ht="12.75">
      <c r="J82" s="281"/>
      <c r="K82" s="282" t="s">
        <v>148</v>
      </c>
      <c r="L82" s="283">
        <f>MAX(L75:L80)</f>
        <v>0.10644</v>
      </c>
      <c r="M82" s="284" t="s">
        <v>139</v>
      </c>
    </row>
  </sheetData>
  <sheetProtection sheet="1"/>
  <dataValidations count="3">
    <dataValidation type="list" allowBlank="1" showInputMessage="1" showErrorMessage="1" sqref="D55 D64">
      <formula1>mode_déplacement</formula1>
    </dataValidation>
    <dataValidation type="list" allowBlank="1" showInputMessage="1" showErrorMessage="1" sqref="D20">
      <formula1>Equipement_élec</formula1>
    </dataValidation>
    <dataValidation type="list" allowBlank="1" showInputMessage="1" showErrorMessage="1" sqref="D17:D19">
      <formula1>'Facture énergie'!$H$9:$H$19</formula1>
    </dataValidation>
  </dataValidations>
  <printOptions/>
  <pageMargins left="0.787401575" right="0.787401575" top="0.8" bottom="0.984251969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2"/>
  <sheetViews>
    <sheetView zoomScale="85" zoomScaleNormal="85" workbookViewId="0" topLeftCell="A1">
      <selection activeCell="E6" sqref="E6"/>
    </sheetView>
  </sheetViews>
  <sheetFormatPr defaultColWidth="11.00390625" defaultRowHeight="12.75"/>
  <cols>
    <col min="1" max="1" width="4.875" style="45" customWidth="1"/>
    <col min="2" max="4" width="7.375" style="45" customWidth="1"/>
    <col min="5" max="16384" width="11.00390625" style="45" customWidth="1"/>
  </cols>
  <sheetData>
    <row r="1" spans="1:10" ht="18.75" thickBot="1">
      <c r="A1" s="42" t="s">
        <v>53</v>
      </c>
      <c r="B1" s="43"/>
      <c r="C1" s="43"/>
      <c r="D1" s="43"/>
      <c r="E1" s="44"/>
      <c r="F1" s="150"/>
      <c r="G1" s="150"/>
      <c r="H1" s="150"/>
      <c r="I1" s="150"/>
      <c r="J1" s="151"/>
    </row>
    <row r="2" ht="12.75"/>
    <row r="3" ht="12.75"/>
    <row r="4" spans="2:9" ht="15">
      <c r="B4" s="50" t="s">
        <v>84</v>
      </c>
      <c r="E4" s="152">
        <f>YEAR(I4)</f>
        <v>2016</v>
      </c>
      <c r="H4" s="45" t="s">
        <v>119</v>
      </c>
      <c r="I4" s="153">
        <f ca="1">TODAY()</f>
        <v>42473</v>
      </c>
    </row>
    <row r="5" ht="12.75"/>
    <row r="6" spans="2:6" ht="15">
      <c r="B6" s="50" t="s">
        <v>298</v>
      </c>
      <c r="E6" s="302">
        <v>1.5</v>
      </c>
      <c r="F6" s="297" t="s">
        <v>299</v>
      </c>
    </row>
    <row r="7" spans="3:4" ht="12.75">
      <c r="C7" s="154"/>
      <c r="D7" s="154"/>
    </row>
    <row r="8" spans="2:6" ht="15">
      <c r="B8" s="50" t="s">
        <v>396</v>
      </c>
      <c r="F8" s="303">
        <f>1+(E6%*(E4-2012))</f>
        <v>1.06</v>
      </c>
    </row>
    <row r="9" spans="3:4" ht="12.75">
      <c r="C9" s="154"/>
      <c r="D9" s="154"/>
    </row>
    <row r="10" spans="2:8" ht="15">
      <c r="B10" s="50" t="s">
        <v>135</v>
      </c>
      <c r="C10" s="154"/>
      <c r="E10" s="155" t="str">
        <f>CONCATENATE('Budget mensuel'!C14,'Budget mensuel'!C15,'Budget mensuel'!C16)</f>
        <v>211</v>
      </c>
      <c r="H10" s="156"/>
    </row>
    <row r="11" spans="3:4" ht="12.75">
      <c r="C11" s="154"/>
      <c r="D11" s="154"/>
    </row>
    <row r="12" ht="12.75"/>
    <row r="13" spans="1:8" ht="15">
      <c r="A13" s="157" t="s">
        <v>54</v>
      </c>
      <c r="B13" s="157" t="s">
        <v>71</v>
      </c>
      <c r="C13" s="158"/>
      <c r="D13" s="158"/>
      <c r="E13" s="158"/>
      <c r="F13" s="158"/>
      <c r="G13" s="158"/>
      <c r="H13" s="157"/>
    </row>
    <row r="14" spans="1:2" ht="15">
      <c r="A14" s="50"/>
      <c r="B14" s="50"/>
    </row>
    <row r="15" spans="5:15" ht="12.75">
      <c r="E15" s="159" t="s">
        <v>238</v>
      </c>
      <c r="F15" s="160"/>
      <c r="G15" s="161"/>
      <c r="H15" s="161"/>
      <c r="I15" s="161"/>
      <c r="J15" s="162" t="s">
        <v>85</v>
      </c>
      <c r="K15" s="161"/>
      <c r="L15" s="163"/>
      <c r="M15" s="161"/>
      <c r="N15" s="161"/>
      <c r="O15" s="163"/>
    </row>
    <row r="16" spans="2:15" ht="12.75">
      <c r="B16" s="164" t="s">
        <v>55</v>
      </c>
      <c r="C16" s="160"/>
      <c r="D16" s="165"/>
      <c r="E16" s="162" t="s">
        <v>61</v>
      </c>
      <c r="F16" s="163"/>
      <c r="G16" s="162" t="s">
        <v>62</v>
      </c>
      <c r="H16" s="161"/>
      <c r="I16" s="161"/>
      <c r="J16" s="164" t="s">
        <v>61</v>
      </c>
      <c r="K16" s="160"/>
      <c r="L16" s="165"/>
      <c r="M16" s="166" t="s">
        <v>62</v>
      </c>
      <c r="N16" s="166"/>
      <c r="O16" s="167"/>
    </row>
    <row r="17" spans="1:15" ht="28.5" customHeight="1">
      <c r="A17" s="168" t="s">
        <v>135</v>
      </c>
      <c r="B17" s="169" t="s">
        <v>56</v>
      </c>
      <c r="C17" s="170" t="s">
        <v>57</v>
      </c>
      <c r="D17" s="171" t="s">
        <v>66</v>
      </c>
      <c r="E17" s="172" t="s">
        <v>59</v>
      </c>
      <c r="F17" s="171" t="s">
        <v>60</v>
      </c>
      <c r="G17" s="169" t="s">
        <v>63</v>
      </c>
      <c r="H17" s="173" t="s">
        <v>64</v>
      </c>
      <c r="I17" s="173" t="s">
        <v>65</v>
      </c>
      <c r="J17" s="169" t="s">
        <v>58</v>
      </c>
      <c r="K17" s="173" t="s">
        <v>59</v>
      </c>
      <c r="L17" s="171" t="s">
        <v>60</v>
      </c>
      <c r="M17" s="170" t="s">
        <v>63</v>
      </c>
      <c r="N17" s="173" t="s">
        <v>64</v>
      </c>
      <c r="O17" s="171" t="s">
        <v>65</v>
      </c>
    </row>
    <row r="18" spans="1:15" ht="12.75">
      <c r="A18" s="174" t="str">
        <f>CONCATENATE(B18,C18,D18)</f>
        <v>100</v>
      </c>
      <c r="B18" s="175">
        <v>1</v>
      </c>
      <c r="C18" s="176">
        <v>0</v>
      </c>
      <c r="D18" s="177">
        <v>0</v>
      </c>
      <c r="E18" s="178">
        <v>9.19</v>
      </c>
      <c r="F18" s="177">
        <v>15.16</v>
      </c>
      <c r="G18" s="175">
        <v>208.47</v>
      </c>
      <c r="H18" s="179">
        <v>24.49</v>
      </c>
      <c r="I18" s="179">
        <v>30.49</v>
      </c>
      <c r="J18" s="207">
        <f>IF(A18='Facture énergie'!$I$4,'Facture énergie'!$C$30/12,0)</f>
        <v>0</v>
      </c>
      <c r="K18" s="208">
        <f>IF($A18='Facture énergie'!$I$4,E18*$F$8,0)</f>
        <v>0</v>
      </c>
      <c r="L18" s="209">
        <f>IF($A18='Facture énergie'!$I$4,F18*$F$8,0)</f>
        <v>0</v>
      </c>
      <c r="M18" s="210">
        <f>IF($A18='Facture énergie'!$I$4,G18*$F$8,0)</f>
        <v>0</v>
      </c>
      <c r="N18" s="208">
        <f>IF($A18='Facture énergie'!$I$4,H18*$F$8,0)</f>
        <v>0</v>
      </c>
      <c r="O18" s="209">
        <f>IF($A18='Facture énergie'!$I$4,I18*$F$8,0)</f>
        <v>0</v>
      </c>
    </row>
    <row r="19" spans="1:15" ht="12.75">
      <c r="A19" s="180" t="str">
        <f aca="true" t="shared" si="0" ref="A19:A38">CONCATENATE(B19,C19,D19)</f>
        <v>110</v>
      </c>
      <c r="B19" s="175">
        <v>1</v>
      </c>
      <c r="C19" s="176">
        <v>1</v>
      </c>
      <c r="D19" s="177">
        <v>0</v>
      </c>
      <c r="E19" s="178">
        <v>11.69</v>
      </c>
      <c r="F19" s="177">
        <v>20.58</v>
      </c>
      <c r="G19" s="175">
        <v>312.71</v>
      </c>
      <c r="H19" s="181">
        <v>48.97</v>
      </c>
      <c r="I19" s="181">
        <v>60.99</v>
      </c>
      <c r="J19" s="207">
        <f>IF(A19='Facture énergie'!$I$4,'Facture énergie'!$C$30/12,0)</f>
        <v>0</v>
      </c>
      <c r="K19" s="211">
        <f>IF($A19='Facture énergie'!$I$4,E19*$F$8,0)</f>
        <v>0</v>
      </c>
      <c r="L19" s="212">
        <f>IF($A19='Facture énergie'!$I$4,F19*$F$8,0)</f>
        <v>0</v>
      </c>
      <c r="M19" s="207">
        <f>IF($A19='Facture énergie'!$I$4,G19*$F$8,0)</f>
        <v>0</v>
      </c>
      <c r="N19" s="211">
        <f>IF($A19='Facture énergie'!$I$4,H19*$F$8,0)</f>
        <v>0</v>
      </c>
      <c r="O19" s="212">
        <f>IF($A19='Facture énergie'!$I$4,I19*$F$8,0)</f>
        <v>0</v>
      </c>
    </row>
    <row r="20" spans="1:15" ht="12.75">
      <c r="A20" s="180" t="str">
        <f t="shared" si="0"/>
        <v>101</v>
      </c>
      <c r="B20" s="175">
        <v>1</v>
      </c>
      <c r="C20" s="176">
        <v>0</v>
      </c>
      <c r="D20" s="177">
        <v>1</v>
      </c>
      <c r="E20" s="178">
        <v>11.69</v>
      </c>
      <c r="F20" s="177">
        <v>28.7</v>
      </c>
      <c r="G20" s="175">
        <v>354.4</v>
      </c>
      <c r="H20" s="181">
        <v>48.97</v>
      </c>
      <c r="I20" s="181">
        <v>66.33</v>
      </c>
      <c r="J20" s="207">
        <f>IF(A20='Facture énergie'!$I$4,'Facture énergie'!$C$30/12,0)</f>
        <v>0</v>
      </c>
      <c r="K20" s="211">
        <f>IF($A20='Facture énergie'!$I$4,E20*$F$8,0)</f>
        <v>0</v>
      </c>
      <c r="L20" s="212">
        <f>IF($A20='Facture énergie'!$I$4,F20*$F$8,0)</f>
        <v>0</v>
      </c>
      <c r="M20" s="207">
        <f>IF($A20='Facture énergie'!$I$4,G20*$F$8,0)</f>
        <v>0</v>
      </c>
      <c r="N20" s="211">
        <f>IF($A20='Facture énergie'!$I$4,H20*$F$8,0)</f>
        <v>0</v>
      </c>
      <c r="O20" s="212">
        <f>IF($A20='Facture énergie'!$I$4,I20*$F$8,0)</f>
        <v>0</v>
      </c>
    </row>
    <row r="21" spans="1:15" ht="12.75">
      <c r="A21" s="180" t="str">
        <f t="shared" si="0"/>
        <v>120</v>
      </c>
      <c r="B21" s="175">
        <v>1</v>
      </c>
      <c r="C21" s="176">
        <v>2</v>
      </c>
      <c r="D21" s="177">
        <v>0</v>
      </c>
      <c r="E21" s="178">
        <v>13.33</v>
      </c>
      <c r="F21" s="177">
        <v>25.99</v>
      </c>
      <c r="G21" s="175">
        <v>416.95</v>
      </c>
      <c r="H21" s="181">
        <v>73.46</v>
      </c>
      <c r="I21" s="181">
        <v>91.48</v>
      </c>
      <c r="J21" s="207">
        <f>IF(A21='Facture énergie'!$I$4,'Facture énergie'!$C$30/12,0)</f>
        <v>0</v>
      </c>
      <c r="K21" s="211">
        <f>IF($A21='Facture énergie'!$I$4,E21*$F$8,0)</f>
        <v>0</v>
      </c>
      <c r="L21" s="212">
        <f>IF($A21='Facture énergie'!$I$4,F21*$F$8,0)</f>
        <v>0</v>
      </c>
      <c r="M21" s="207">
        <f>IF($A21='Facture énergie'!$I$4,G21*$F$8,0)</f>
        <v>0</v>
      </c>
      <c r="N21" s="211">
        <f>IF($A21='Facture énergie'!$I$4,H21*$F$8,0)</f>
        <v>0</v>
      </c>
      <c r="O21" s="212">
        <f>IF($A21='Facture énergie'!$I$4,I21*$F$8,0)</f>
        <v>0</v>
      </c>
    </row>
    <row r="22" spans="1:15" ht="12.75">
      <c r="A22" s="180" t="str">
        <f t="shared" si="0"/>
        <v>111</v>
      </c>
      <c r="B22" s="175">
        <v>1</v>
      </c>
      <c r="C22" s="176">
        <v>1</v>
      </c>
      <c r="D22" s="177">
        <v>1</v>
      </c>
      <c r="E22" s="178">
        <v>13.33</v>
      </c>
      <c r="F22" s="177">
        <v>34.12</v>
      </c>
      <c r="G22" s="175">
        <v>458.64</v>
      </c>
      <c r="H22" s="181">
        <v>73.46</v>
      </c>
      <c r="I22" s="181">
        <v>96.83</v>
      </c>
      <c r="J22" s="207">
        <f>IF(A22='Facture énergie'!$I$4,'Facture énergie'!$C$30/12,0)</f>
        <v>0</v>
      </c>
      <c r="K22" s="211">
        <f>IF($A22='Facture énergie'!$I$4,E22*$F$8,0)</f>
        <v>0</v>
      </c>
      <c r="L22" s="212">
        <f>IF($A22='Facture énergie'!$I$4,F22*$F$8,0)</f>
        <v>0</v>
      </c>
      <c r="M22" s="207">
        <f>IF($A22='Facture énergie'!$I$4,G22*$F$8,0)</f>
        <v>0</v>
      </c>
      <c r="N22" s="211">
        <f>IF($A22='Facture énergie'!$I$4,H22*$F$8,0)</f>
        <v>0</v>
      </c>
      <c r="O22" s="212">
        <f>IF($A22='Facture énergie'!$I$4,I22*$F$8,0)</f>
        <v>0</v>
      </c>
    </row>
    <row r="23" spans="1:15" ht="12.75">
      <c r="A23" s="180" t="str">
        <f t="shared" si="0"/>
        <v>102</v>
      </c>
      <c r="B23" s="175">
        <v>1</v>
      </c>
      <c r="C23" s="176">
        <v>0</v>
      </c>
      <c r="D23" s="177">
        <v>2</v>
      </c>
      <c r="E23" s="178">
        <v>13.33</v>
      </c>
      <c r="F23" s="177">
        <v>42.24</v>
      </c>
      <c r="G23" s="175">
        <v>500.34</v>
      </c>
      <c r="H23" s="181">
        <v>73.46</v>
      </c>
      <c r="I23" s="181">
        <v>101.09</v>
      </c>
      <c r="J23" s="207">
        <f>IF(A23='Facture énergie'!$I$4,'Facture énergie'!$C$30/12,0)</f>
        <v>0</v>
      </c>
      <c r="K23" s="211">
        <f>IF($A23='Facture énergie'!$I$4,E23*$F$8,0)</f>
        <v>0</v>
      </c>
      <c r="L23" s="212">
        <f>IF($A23='Facture énergie'!$I$4,F23*$F$8,0)</f>
        <v>0</v>
      </c>
      <c r="M23" s="207">
        <f>IF($A23='Facture énergie'!$I$4,G23*$F$8,0)</f>
        <v>0</v>
      </c>
      <c r="N23" s="211">
        <f>IF($A23='Facture énergie'!$I$4,H23*$F$8,0)</f>
        <v>0</v>
      </c>
      <c r="O23" s="212">
        <f>IF($A23='Facture énergie'!$I$4,I23*$F$8,0)</f>
        <v>0</v>
      </c>
    </row>
    <row r="24" spans="1:15" ht="12.75">
      <c r="A24" s="180" t="str">
        <f t="shared" si="0"/>
        <v>130</v>
      </c>
      <c r="B24" s="175">
        <v>1</v>
      </c>
      <c r="C24" s="176">
        <v>3</v>
      </c>
      <c r="D24" s="177">
        <v>0</v>
      </c>
      <c r="E24" s="178">
        <v>15.66</v>
      </c>
      <c r="F24" s="177">
        <v>31.41</v>
      </c>
      <c r="G24" s="175">
        <v>521.18</v>
      </c>
      <c r="H24" s="181">
        <v>97.95</v>
      </c>
      <c r="I24" s="181">
        <v>121.99</v>
      </c>
      <c r="J24" s="207">
        <f>IF(A24='Facture énergie'!$I$4,'Facture énergie'!$C$30/12,0)</f>
        <v>0</v>
      </c>
      <c r="K24" s="211">
        <f>IF($A24='Facture énergie'!$I$4,E24*$F$8,0)</f>
        <v>0</v>
      </c>
      <c r="L24" s="212">
        <f>IF($A24='Facture énergie'!$I$4,F24*$F$8,0)</f>
        <v>0</v>
      </c>
      <c r="M24" s="207">
        <f>IF($A24='Facture énergie'!$I$4,G24*$F$8,0)</f>
        <v>0</v>
      </c>
      <c r="N24" s="211">
        <f>IF($A24='Facture énergie'!$I$4,H24*$F$8,0)</f>
        <v>0</v>
      </c>
      <c r="O24" s="212">
        <f>IF($A24='Facture énergie'!$I$4,I24*$F$8,0)</f>
        <v>0</v>
      </c>
    </row>
    <row r="25" spans="1:15" ht="12.75">
      <c r="A25" s="180" t="str">
        <f t="shared" si="0"/>
        <v>121</v>
      </c>
      <c r="B25" s="175">
        <v>1</v>
      </c>
      <c r="C25" s="176">
        <v>2</v>
      </c>
      <c r="D25" s="177">
        <v>1</v>
      </c>
      <c r="E25" s="178">
        <v>15.66</v>
      </c>
      <c r="F25" s="177">
        <v>39.54</v>
      </c>
      <c r="G25" s="175">
        <v>563.98</v>
      </c>
      <c r="H25" s="181">
        <v>97.95</v>
      </c>
      <c r="I25" s="181">
        <v>127.33</v>
      </c>
      <c r="J25" s="207">
        <f>IF(A25='Facture énergie'!$I$4,'Facture énergie'!$C$30/12,0)</f>
        <v>0</v>
      </c>
      <c r="K25" s="211">
        <f>IF($A25='Facture énergie'!$I$4,E25*$F$8,0)</f>
        <v>0</v>
      </c>
      <c r="L25" s="212">
        <f>IF($A25='Facture énergie'!$I$4,F25*$F$8,0)</f>
        <v>0</v>
      </c>
      <c r="M25" s="207">
        <f>IF($A25='Facture énergie'!$I$4,G25*$F$8,0)</f>
        <v>0</v>
      </c>
      <c r="N25" s="211">
        <f>IF($A25='Facture énergie'!$I$4,H25*$F$8,0)</f>
        <v>0</v>
      </c>
      <c r="O25" s="212">
        <f>IF($A25='Facture énergie'!$I$4,I25*$F$8,0)</f>
        <v>0</v>
      </c>
    </row>
    <row r="26" spans="1:15" ht="12.75">
      <c r="A26" s="180" t="str">
        <f t="shared" si="0"/>
        <v>112</v>
      </c>
      <c r="B26" s="175">
        <v>1</v>
      </c>
      <c r="C26" s="176">
        <v>1</v>
      </c>
      <c r="D26" s="177">
        <v>2</v>
      </c>
      <c r="E26" s="178">
        <v>15.66</v>
      </c>
      <c r="F26" s="177">
        <v>47.66</v>
      </c>
      <c r="G26" s="175">
        <v>604.58</v>
      </c>
      <c r="H26" s="181">
        <v>97.95</v>
      </c>
      <c r="I26" s="181">
        <v>132.67</v>
      </c>
      <c r="J26" s="207">
        <f>IF(A26='Facture énergie'!$I$4,'Facture énergie'!$C$30/12,0)</f>
        <v>0</v>
      </c>
      <c r="K26" s="211">
        <f>IF($A26='Facture énergie'!$I$4,E26*$F$8,0)</f>
        <v>0</v>
      </c>
      <c r="L26" s="212">
        <f>IF($A26='Facture énergie'!$I$4,F26*$F$8,0)</f>
        <v>0</v>
      </c>
      <c r="M26" s="207">
        <f>IF($A26='Facture énergie'!$I$4,G26*$F$8,0)</f>
        <v>0</v>
      </c>
      <c r="N26" s="211">
        <f>IF($A26='Facture énergie'!$I$4,H26*$F$8,0)</f>
        <v>0</v>
      </c>
      <c r="O26" s="212">
        <f>IF($A26='Facture énergie'!$I$4,I26*$F$8,0)</f>
        <v>0</v>
      </c>
    </row>
    <row r="27" spans="1:15" ht="12.75">
      <c r="A27" s="180" t="str">
        <f t="shared" si="0"/>
        <v>103</v>
      </c>
      <c r="B27" s="175">
        <v>1</v>
      </c>
      <c r="C27" s="176">
        <v>0</v>
      </c>
      <c r="D27" s="177">
        <v>3</v>
      </c>
      <c r="E27" s="178">
        <v>15.66</v>
      </c>
      <c r="F27" s="177">
        <v>55.79</v>
      </c>
      <c r="G27" s="175">
        <v>646.27</v>
      </c>
      <c r="H27" s="181">
        <v>97.95</v>
      </c>
      <c r="I27" s="181">
        <v>138.13</v>
      </c>
      <c r="J27" s="207">
        <f>IF(A27='Facture énergie'!$I$4,'Facture énergie'!$C$30/12,0)</f>
        <v>0</v>
      </c>
      <c r="K27" s="211">
        <f>IF($A27='Facture énergie'!$I$4,E27*$F$8,0)</f>
        <v>0</v>
      </c>
      <c r="L27" s="212">
        <f>IF($A27='Facture énergie'!$I$4,F27*$F$8,0)</f>
        <v>0</v>
      </c>
      <c r="M27" s="207">
        <f>IF($A27='Facture énergie'!$I$4,G27*$F$8,0)</f>
        <v>0</v>
      </c>
      <c r="N27" s="211">
        <f>IF($A27='Facture énergie'!$I$4,H27*$F$8,0)</f>
        <v>0</v>
      </c>
      <c r="O27" s="212">
        <f>IF($A27='Facture énergie'!$I$4,I27*$F$8,0)</f>
        <v>0</v>
      </c>
    </row>
    <row r="28" spans="1:15" ht="12.75">
      <c r="A28" s="180" t="str">
        <f t="shared" si="0"/>
        <v>140</v>
      </c>
      <c r="B28" s="175">
        <v>1</v>
      </c>
      <c r="C28" s="176">
        <v>4</v>
      </c>
      <c r="D28" s="177">
        <v>0</v>
      </c>
      <c r="E28" s="178">
        <v>18.75</v>
      </c>
      <c r="F28" s="177">
        <v>36.83</v>
      </c>
      <c r="G28" s="175">
        <v>625.42</v>
      </c>
      <c r="H28" s="181">
        <v>122.44</v>
      </c>
      <c r="I28" s="181">
        <v>152.49</v>
      </c>
      <c r="J28" s="207">
        <f>IF(A28='Facture énergie'!$I$4,'Facture énergie'!$C$30/12,0)</f>
        <v>0</v>
      </c>
      <c r="K28" s="211">
        <f>IF($A28='Facture énergie'!$I$4,E28*$F$8,0)</f>
        <v>0</v>
      </c>
      <c r="L28" s="212">
        <f>IF($A28='Facture énergie'!$I$4,F28*$F$8,0)</f>
        <v>0</v>
      </c>
      <c r="M28" s="207">
        <f>IF($A28='Facture énergie'!$I$4,G28*$F$8,0)</f>
        <v>0</v>
      </c>
      <c r="N28" s="211">
        <f>IF($A28='Facture énergie'!$I$4,H28*$F$8,0)</f>
        <v>0</v>
      </c>
      <c r="O28" s="212">
        <f>IF($A28='Facture énergie'!$I$4,I28*$F$8,0)</f>
        <v>0</v>
      </c>
    </row>
    <row r="29" spans="1:15" ht="12.75">
      <c r="A29" s="180" t="str">
        <f t="shared" si="0"/>
        <v>131</v>
      </c>
      <c r="B29" s="175">
        <v>1</v>
      </c>
      <c r="C29" s="176">
        <v>3</v>
      </c>
      <c r="D29" s="177">
        <v>1</v>
      </c>
      <c r="E29" s="178">
        <v>18.75</v>
      </c>
      <c r="F29" s="177">
        <v>44.95</v>
      </c>
      <c r="G29" s="175">
        <v>667.11</v>
      </c>
      <c r="H29" s="181">
        <v>122.44</v>
      </c>
      <c r="I29" s="181">
        <v>157.83</v>
      </c>
      <c r="J29" s="207">
        <f>IF(A29='Facture énergie'!$I$4,'Facture énergie'!$C$30/12,0)</f>
        <v>0</v>
      </c>
      <c r="K29" s="211">
        <f>IF($A29='Facture énergie'!$I$4,E29*$F$8,0)</f>
        <v>0</v>
      </c>
      <c r="L29" s="212">
        <f>IF($A29='Facture énergie'!$I$4,F29*$F$8,0)</f>
        <v>0</v>
      </c>
      <c r="M29" s="207">
        <f>IF($A29='Facture énergie'!$I$4,G29*$F$8,0)</f>
        <v>0</v>
      </c>
      <c r="N29" s="211">
        <f>IF($A29='Facture énergie'!$I$4,H29*$F$8,0)</f>
        <v>0</v>
      </c>
      <c r="O29" s="212">
        <f>IF($A29='Facture énergie'!$I$4,I29*$F$8,0)</f>
        <v>0</v>
      </c>
    </row>
    <row r="30" spans="1:15" ht="12.75">
      <c r="A30" s="180" t="str">
        <f t="shared" si="0"/>
        <v>122</v>
      </c>
      <c r="B30" s="175">
        <v>1</v>
      </c>
      <c r="C30" s="176">
        <v>2</v>
      </c>
      <c r="D30" s="177">
        <v>2</v>
      </c>
      <c r="E30" s="178">
        <v>18.75</v>
      </c>
      <c r="F30" s="177">
        <v>53.08</v>
      </c>
      <c r="G30" s="175">
        <v>708.8</v>
      </c>
      <c r="H30" s="181">
        <v>122.44</v>
      </c>
      <c r="I30" s="181">
        <v>159.19</v>
      </c>
      <c r="J30" s="207">
        <f>IF(A30='Facture énergie'!$I$4,'Facture énergie'!$C$30/12,0)</f>
        <v>0</v>
      </c>
      <c r="K30" s="211">
        <f>IF($A30='Facture énergie'!$I$4,E30*$F$8,0)</f>
        <v>0</v>
      </c>
      <c r="L30" s="212">
        <f>IF($A30='Facture énergie'!$I$4,F30*$F$8,0)</f>
        <v>0</v>
      </c>
      <c r="M30" s="207">
        <f>IF($A30='Facture énergie'!$I$4,G30*$F$8,0)</f>
        <v>0</v>
      </c>
      <c r="N30" s="211">
        <f>IF($A30='Facture énergie'!$I$4,H30*$F$8,0)</f>
        <v>0</v>
      </c>
      <c r="O30" s="212">
        <f>IF($A30='Facture énergie'!$I$4,I30*$F$8,0)</f>
        <v>0</v>
      </c>
    </row>
    <row r="31" spans="1:15" ht="12.75">
      <c r="A31" s="180" t="str">
        <f t="shared" si="0"/>
        <v>113</v>
      </c>
      <c r="B31" s="175">
        <v>1</v>
      </c>
      <c r="C31" s="176">
        <v>1</v>
      </c>
      <c r="D31" s="177">
        <v>3</v>
      </c>
      <c r="E31" s="178">
        <v>18.75</v>
      </c>
      <c r="F31" s="177">
        <v>61.2</v>
      </c>
      <c r="G31" s="175">
        <v>750.51</v>
      </c>
      <c r="H31" s="181">
        <v>122.44</v>
      </c>
      <c r="I31" s="181">
        <v>168.51</v>
      </c>
      <c r="J31" s="207">
        <f>IF(A31='Facture énergie'!$I$4,'Facture énergie'!$C$30/12,0)</f>
        <v>0</v>
      </c>
      <c r="K31" s="211">
        <f>IF($A31='Facture énergie'!$I$4,E31*$F$8,0)</f>
        <v>0</v>
      </c>
      <c r="L31" s="212">
        <f>IF($A31='Facture énergie'!$I$4,F31*$F$8,0)</f>
        <v>0</v>
      </c>
      <c r="M31" s="207">
        <f>IF($A31='Facture énergie'!$I$4,G31*$F$8,0)</f>
        <v>0</v>
      </c>
      <c r="N31" s="211">
        <f>IF($A31='Facture énergie'!$I$4,H31*$F$8,0)</f>
        <v>0</v>
      </c>
      <c r="O31" s="212">
        <f>IF($A31='Facture énergie'!$I$4,I31*$F$8,0)</f>
        <v>0</v>
      </c>
    </row>
    <row r="32" spans="1:15" ht="12.75">
      <c r="A32" s="180" t="str">
        <f t="shared" si="0"/>
        <v>104</v>
      </c>
      <c r="B32" s="175">
        <v>1</v>
      </c>
      <c r="C32" s="176">
        <v>0</v>
      </c>
      <c r="D32" s="177">
        <v>4</v>
      </c>
      <c r="E32" s="178">
        <v>18.75</v>
      </c>
      <c r="F32" s="177">
        <v>69.33</v>
      </c>
      <c r="G32" s="175">
        <v>792.2</v>
      </c>
      <c r="H32" s="181">
        <v>122.44</v>
      </c>
      <c r="I32" s="181">
        <v>173.85</v>
      </c>
      <c r="J32" s="207">
        <f>IF(A32='Facture énergie'!$I$4,'Facture énergie'!$C$30/12,0)</f>
        <v>0</v>
      </c>
      <c r="K32" s="211">
        <f>IF($A32='Facture énergie'!$I$4,E32*$F$8,0)</f>
        <v>0</v>
      </c>
      <c r="L32" s="212">
        <f>IF($A32='Facture énergie'!$I$4,F32*$F$8,0)</f>
        <v>0</v>
      </c>
      <c r="M32" s="207">
        <f>IF($A32='Facture énergie'!$I$4,G32*$F$8,0)</f>
        <v>0</v>
      </c>
      <c r="N32" s="211">
        <f>IF($A32='Facture énergie'!$I$4,H32*$F$8,0)</f>
        <v>0</v>
      </c>
      <c r="O32" s="212">
        <f>IF($A32='Facture énergie'!$I$4,I32*$F$8,0)</f>
        <v>0</v>
      </c>
    </row>
    <row r="33" spans="1:15" ht="12.75">
      <c r="A33" s="180" t="str">
        <f t="shared" si="0"/>
        <v>150</v>
      </c>
      <c r="B33" s="175">
        <v>1</v>
      </c>
      <c r="C33" s="176">
        <v>5</v>
      </c>
      <c r="D33" s="177">
        <v>0</v>
      </c>
      <c r="E33" s="178">
        <v>21.22</v>
      </c>
      <c r="F33" s="177">
        <v>42.24</v>
      </c>
      <c r="G33" s="175">
        <v>729.66</v>
      </c>
      <c r="H33" s="181">
        <v>146.92</v>
      </c>
      <c r="I33" s="181">
        <v>182.98</v>
      </c>
      <c r="J33" s="207">
        <f>IF(A33='Facture énergie'!$I$4,'Facture énergie'!$C$30/12,0)</f>
        <v>0</v>
      </c>
      <c r="K33" s="211">
        <f>IF($A33='Facture énergie'!$I$4,E33*$F$8,0)</f>
        <v>0</v>
      </c>
      <c r="L33" s="212">
        <f>IF($A33='Facture énergie'!$I$4,F33*$F$8,0)</f>
        <v>0</v>
      </c>
      <c r="M33" s="207">
        <f>IF($A33='Facture énergie'!$I$4,G33*$F$8,0)</f>
        <v>0</v>
      </c>
      <c r="N33" s="211">
        <f>IF($A33='Facture énergie'!$I$4,H33*$F$8,0)</f>
        <v>0</v>
      </c>
      <c r="O33" s="212">
        <f>IF($A33='Facture énergie'!$I$4,I33*$F$8,0)</f>
        <v>0</v>
      </c>
    </row>
    <row r="34" spans="1:15" ht="12.75">
      <c r="A34" s="180" t="str">
        <f t="shared" si="0"/>
        <v>141</v>
      </c>
      <c r="B34" s="175">
        <v>1</v>
      </c>
      <c r="C34" s="176">
        <v>4</v>
      </c>
      <c r="D34" s="177">
        <v>1</v>
      </c>
      <c r="E34" s="178">
        <v>21.22</v>
      </c>
      <c r="F34" s="177">
        <v>50.37</v>
      </c>
      <c r="G34" s="175">
        <v>771.35</v>
      </c>
      <c r="H34" s="181">
        <v>146.92</v>
      </c>
      <c r="I34" s="181">
        <v>188.33</v>
      </c>
      <c r="J34" s="207">
        <f>IF(A34='Facture énergie'!$I$4,'Facture énergie'!$C$30/12,0)</f>
        <v>0</v>
      </c>
      <c r="K34" s="211">
        <f>IF($A34='Facture énergie'!$I$4,E34*$F$8,0)</f>
        <v>0</v>
      </c>
      <c r="L34" s="212">
        <f>IF($A34='Facture énergie'!$I$4,F34*$F$8,0)</f>
        <v>0</v>
      </c>
      <c r="M34" s="207">
        <f>IF($A34='Facture énergie'!$I$4,G34*$F$8,0)</f>
        <v>0</v>
      </c>
      <c r="N34" s="211">
        <f>IF($A34='Facture énergie'!$I$4,H34*$F$8,0)</f>
        <v>0</v>
      </c>
      <c r="O34" s="212">
        <f>IF($A34='Facture énergie'!$I$4,I34*$F$8,0)</f>
        <v>0</v>
      </c>
    </row>
    <row r="35" spans="1:15" ht="12.75">
      <c r="A35" s="180" t="str">
        <f t="shared" si="0"/>
        <v>132</v>
      </c>
      <c r="B35" s="175">
        <v>1</v>
      </c>
      <c r="C35" s="176">
        <v>3</v>
      </c>
      <c r="D35" s="177">
        <v>2</v>
      </c>
      <c r="E35" s="178">
        <v>21.22</v>
      </c>
      <c r="F35" s="177">
        <v>58.49</v>
      </c>
      <c r="G35" s="175">
        <v>813.05</v>
      </c>
      <c r="H35" s="181">
        <v>146.92</v>
      </c>
      <c r="I35" s="181">
        <v>193.66</v>
      </c>
      <c r="J35" s="207">
        <f>IF(A35='Facture énergie'!$I$4,'Facture énergie'!$C$30/12,0)</f>
        <v>0</v>
      </c>
      <c r="K35" s="211">
        <f>IF($A35='Facture énergie'!$I$4,E35*$F$8,0)</f>
        <v>0</v>
      </c>
      <c r="L35" s="212">
        <f>IF($A35='Facture énergie'!$I$4,F35*$F$8,0)</f>
        <v>0</v>
      </c>
      <c r="M35" s="207">
        <f>IF($A35='Facture énergie'!$I$4,G35*$F$8,0)</f>
        <v>0</v>
      </c>
      <c r="N35" s="211">
        <f>IF($A35='Facture énergie'!$I$4,H35*$F$8,0)</f>
        <v>0</v>
      </c>
      <c r="O35" s="212">
        <f>IF($A35='Facture énergie'!$I$4,I35*$F$8,0)</f>
        <v>0</v>
      </c>
    </row>
    <row r="36" spans="1:15" ht="12.75">
      <c r="A36" s="180" t="str">
        <f t="shared" si="0"/>
        <v>123</v>
      </c>
      <c r="B36" s="175">
        <v>1</v>
      </c>
      <c r="C36" s="176">
        <v>2</v>
      </c>
      <c r="D36" s="177">
        <v>3</v>
      </c>
      <c r="E36" s="178">
        <v>21.22</v>
      </c>
      <c r="F36" s="177">
        <v>66.62</v>
      </c>
      <c r="G36" s="175">
        <v>854.75</v>
      </c>
      <c r="H36" s="181">
        <v>146.92</v>
      </c>
      <c r="I36" s="181">
        <v>197.91</v>
      </c>
      <c r="J36" s="207">
        <f>IF(A36='Facture énergie'!$I$4,'Facture énergie'!$C$30/12,0)</f>
        <v>0</v>
      </c>
      <c r="K36" s="211">
        <f>IF($A36='Facture énergie'!$I$4,E36*$F$8,0)</f>
        <v>0</v>
      </c>
      <c r="L36" s="212">
        <f>IF($A36='Facture énergie'!$I$4,F36*$F$8,0)</f>
        <v>0</v>
      </c>
      <c r="M36" s="207">
        <f>IF($A36='Facture énergie'!$I$4,G36*$F$8,0)</f>
        <v>0</v>
      </c>
      <c r="N36" s="211">
        <f>IF($A36='Facture énergie'!$I$4,H36*$F$8,0)</f>
        <v>0</v>
      </c>
      <c r="O36" s="212">
        <f>IF($A36='Facture énergie'!$I$4,I36*$F$8,0)</f>
        <v>0</v>
      </c>
    </row>
    <row r="37" spans="1:15" ht="12.75">
      <c r="A37" s="180" t="str">
        <f t="shared" si="0"/>
        <v>114</v>
      </c>
      <c r="B37" s="175">
        <v>1</v>
      </c>
      <c r="C37" s="176">
        <v>1</v>
      </c>
      <c r="D37" s="177">
        <v>4</v>
      </c>
      <c r="E37" s="178">
        <v>21.22</v>
      </c>
      <c r="F37" s="177">
        <v>74.74</v>
      </c>
      <c r="G37" s="175">
        <v>896.44</v>
      </c>
      <c r="H37" s="181">
        <v>146.92</v>
      </c>
      <c r="I37" s="181">
        <v>204.35</v>
      </c>
      <c r="J37" s="207">
        <f>IF(A37='Facture énergie'!$I$4,'Facture énergie'!$C$30/12,0)</f>
        <v>0</v>
      </c>
      <c r="K37" s="211">
        <f>IF($A37='Facture énergie'!$I$4,E37*$F$8,0)</f>
        <v>0</v>
      </c>
      <c r="L37" s="212">
        <f>IF($A37='Facture énergie'!$I$4,F37*$F$8,0)</f>
        <v>0</v>
      </c>
      <c r="M37" s="207">
        <f>IF($A37='Facture énergie'!$I$4,G37*$F$8,0)</f>
        <v>0</v>
      </c>
      <c r="N37" s="211">
        <f>IF($A37='Facture énergie'!$I$4,H37*$F$8,0)</f>
        <v>0</v>
      </c>
      <c r="O37" s="212">
        <f>IF($A37='Facture énergie'!$I$4,I37*$F$8,0)</f>
        <v>0</v>
      </c>
    </row>
    <row r="38" spans="1:15" ht="12.75">
      <c r="A38" s="182" t="str">
        <f t="shared" si="0"/>
        <v>105</v>
      </c>
      <c r="B38" s="183">
        <v>1</v>
      </c>
      <c r="C38" s="184">
        <v>0</v>
      </c>
      <c r="D38" s="185">
        <v>5</v>
      </c>
      <c r="E38" s="186">
        <v>21.22</v>
      </c>
      <c r="F38" s="185">
        <v>82.87</v>
      </c>
      <c r="G38" s="183">
        <v>938.13</v>
      </c>
      <c r="H38" s="187">
        <v>146.92</v>
      </c>
      <c r="I38" s="187">
        <v>209.69</v>
      </c>
      <c r="J38" s="213">
        <f>IF(A38='Facture énergie'!$I$4,'Facture énergie'!$C$30/12,0)</f>
        <v>0</v>
      </c>
      <c r="K38" s="214">
        <f>IF($A38='Facture énergie'!$I$4,E38*$F$8,0)</f>
        <v>0</v>
      </c>
      <c r="L38" s="215">
        <f>IF($A38='Facture énergie'!$I$4,F38*$F$8,0)</f>
        <v>0</v>
      </c>
      <c r="M38" s="213">
        <f>IF($A38='Facture énergie'!$I$4,G38*$F$8,0)</f>
        <v>0</v>
      </c>
      <c r="N38" s="214">
        <f>IF($A38='Facture énergie'!$I$4,H38*$F$8,0)</f>
        <v>0</v>
      </c>
      <c r="O38" s="215">
        <f>IF($A38='Facture énergie'!$I$4,I38*$F$8,0)</f>
        <v>0</v>
      </c>
    </row>
    <row r="39" ht="12.75"/>
    <row r="40" ht="12.75"/>
    <row r="41" spans="1:8" ht="15">
      <c r="A41" s="157" t="s">
        <v>70</v>
      </c>
      <c r="B41" s="157" t="s">
        <v>72</v>
      </c>
      <c r="C41" s="158"/>
      <c r="D41" s="158"/>
      <c r="E41" s="158"/>
      <c r="F41" s="158"/>
      <c r="G41" s="158"/>
      <c r="H41" s="158"/>
    </row>
    <row r="42" spans="1:2" ht="15">
      <c r="A42" s="50"/>
      <c r="B42" s="50"/>
    </row>
    <row r="43" spans="5:15" ht="12.75">
      <c r="E43" s="159" t="s">
        <v>238</v>
      </c>
      <c r="F43" s="160"/>
      <c r="G43" s="161"/>
      <c r="H43" s="161"/>
      <c r="I43" s="161"/>
      <c r="J43" s="162" t="s">
        <v>85</v>
      </c>
      <c r="K43" s="161"/>
      <c r="L43" s="163"/>
      <c r="M43" s="161"/>
      <c r="N43" s="161"/>
      <c r="O43" s="163"/>
    </row>
    <row r="44" spans="2:15" ht="12.75">
      <c r="B44" s="164" t="s">
        <v>55</v>
      </c>
      <c r="C44" s="160"/>
      <c r="D44" s="165"/>
      <c r="E44" s="162" t="s">
        <v>61</v>
      </c>
      <c r="F44" s="163"/>
      <c r="G44" s="164" t="s">
        <v>62</v>
      </c>
      <c r="H44" s="160"/>
      <c r="I44" s="165"/>
      <c r="J44" s="164" t="s">
        <v>61</v>
      </c>
      <c r="K44" s="160"/>
      <c r="L44" s="165"/>
      <c r="M44" s="166" t="s">
        <v>62</v>
      </c>
      <c r="N44" s="166"/>
      <c r="O44" s="167"/>
    </row>
    <row r="45" spans="1:15" ht="28.5" customHeight="1">
      <c r="A45" s="168" t="s">
        <v>135</v>
      </c>
      <c r="B45" s="169" t="s">
        <v>56</v>
      </c>
      <c r="C45" s="170" t="s">
        <v>57</v>
      </c>
      <c r="D45" s="171" t="s">
        <v>66</v>
      </c>
      <c r="E45" s="172" t="s">
        <v>59</v>
      </c>
      <c r="F45" s="171" t="s">
        <v>60</v>
      </c>
      <c r="G45" s="169" t="s">
        <v>63</v>
      </c>
      <c r="H45" s="173" t="s">
        <v>64</v>
      </c>
      <c r="I45" s="171" t="s">
        <v>65</v>
      </c>
      <c r="J45" s="169" t="s">
        <v>58</v>
      </c>
      <c r="K45" s="173" t="s">
        <v>59</v>
      </c>
      <c r="L45" s="171" t="s">
        <v>60</v>
      </c>
      <c r="M45" s="170" t="s">
        <v>63</v>
      </c>
      <c r="N45" s="173" t="s">
        <v>64</v>
      </c>
      <c r="O45" s="171" t="s">
        <v>65</v>
      </c>
    </row>
    <row r="46" spans="1:15" ht="12.75">
      <c r="A46" s="174" t="str">
        <f>CONCATENATE(B46,C46,D46)</f>
        <v>200</v>
      </c>
      <c r="B46" s="175">
        <v>2</v>
      </c>
      <c r="C46" s="176">
        <v>0</v>
      </c>
      <c r="D46" s="177">
        <v>0</v>
      </c>
      <c r="E46" s="178">
        <v>11.69</v>
      </c>
      <c r="F46" s="177">
        <v>28.7</v>
      </c>
      <c r="G46" s="175">
        <v>354.4</v>
      </c>
      <c r="H46" s="181">
        <v>48.97</v>
      </c>
      <c r="I46" s="177">
        <v>60.99</v>
      </c>
      <c r="J46" s="207">
        <f>IF(A46='Facture énergie'!$I$4,'Facture énergie'!$C$30/12,0)</f>
        <v>0</v>
      </c>
      <c r="K46" s="208">
        <f>IF($A46='Facture énergie'!$I$4,E46*$F$8,0)</f>
        <v>0</v>
      </c>
      <c r="L46" s="209">
        <f>IF($A46='Facture énergie'!$I$4,F46*$F$8,0)</f>
        <v>0</v>
      </c>
      <c r="M46" s="210">
        <f>IF($A46='Facture énergie'!$I$4,G46*$F$8,0)</f>
        <v>0</v>
      </c>
      <c r="N46" s="208">
        <f>IF($A46='Facture énergie'!$I$4,H46*$F$8,0)</f>
        <v>0</v>
      </c>
      <c r="O46" s="209">
        <f>IF($A46='Facture énergie'!$I$4,I46*$F$8,0)</f>
        <v>0</v>
      </c>
    </row>
    <row r="47" spans="1:15" ht="12.75">
      <c r="A47" s="180" t="str">
        <f aca="true" t="shared" si="1" ref="A47:A66">CONCATENATE(B47,C47,D47)</f>
        <v>210</v>
      </c>
      <c r="B47" s="175">
        <v>2</v>
      </c>
      <c r="C47" s="176">
        <v>1</v>
      </c>
      <c r="D47" s="177">
        <v>0</v>
      </c>
      <c r="E47" s="178">
        <v>13.33</v>
      </c>
      <c r="F47" s="177">
        <v>34.12</v>
      </c>
      <c r="G47" s="175">
        <v>458.64</v>
      </c>
      <c r="H47" s="181">
        <v>73.46</v>
      </c>
      <c r="I47" s="177">
        <v>91.48</v>
      </c>
      <c r="J47" s="207">
        <f>IF(A47='Facture énergie'!$I$4,'Facture énergie'!$C$30/12,0)</f>
        <v>0</v>
      </c>
      <c r="K47" s="211">
        <f>IF($A47='Facture énergie'!$I$4,E47*$F$8,0)</f>
        <v>0</v>
      </c>
      <c r="L47" s="212">
        <f>IF($A47='Facture énergie'!$I$4,F47*$F$8,0)</f>
        <v>0</v>
      </c>
      <c r="M47" s="207">
        <f>IF($A47='Facture énergie'!$I$4,G47*$F$8,0)</f>
        <v>0</v>
      </c>
      <c r="N47" s="211">
        <f>IF($A47='Facture énergie'!$I$4,H47*$F$8,0)</f>
        <v>0</v>
      </c>
      <c r="O47" s="212">
        <f>IF($A47='Facture énergie'!$I$4,I47*$F$8,0)</f>
        <v>0</v>
      </c>
    </row>
    <row r="48" spans="1:15" ht="12.75">
      <c r="A48" s="180" t="str">
        <f t="shared" si="1"/>
        <v>201</v>
      </c>
      <c r="B48" s="175">
        <v>2</v>
      </c>
      <c r="C48" s="176">
        <v>0</v>
      </c>
      <c r="D48" s="177">
        <v>1</v>
      </c>
      <c r="E48" s="178">
        <v>13.33</v>
      </c>
      <c r="F48" s="177">
        <v>42.24</v>
      </c>
      <c r="G48" s="175">
        <v>500.34</v>
      </c>
      <c r="H48" s="181">
        <v>73.46</v>
      </c>
      <c r="I48" s="177">
        <v>96.83</v>
      </c>
      <c r="J48" s="207">
        <f>IF(A48='Facture énergie'!$I$4,'Facture énergie'!$C$30/12,0)</f>
        <v>0</v>
      </c>
      <c r="K48" s="211">
        <f>IF($A48='Facture énergie'!$I$4,E48*$F$8,0)</f>
        <v>0</v>
      </c>
      <c r="L48" s="212">
        <f>IF($A48='Facture énergie'!$I$4,F48*$F$8,0)</f>
        <v>0</v>
      </c>
      <c r="M48" s="207">
        <f>IF($A48='Facture énergie'!$I$4,G48*$F$8,0)</f>
        <v>0</v>
      </c>
      <c r="N48" s="211">
        <f>IF($A48='Facture énergie'!$I$4,H48*$F$8,0)</f>
        <v>0</v>
      </c>
      <c r="O48" s="212">
        <f>IF($A48='Facture énergie'!$I$4,I48*$F$8,0)</f>
        <v>0</v>
      </c>
    </row>
    <row r="49" spans="1:15" ht="12.75">
      <c r="A49" s="180" t="str">
        <f t="shared" si="1"/>
        <v>220</v>
      </c>
      <c r="B49" s="175">
        <v>2</v>
      </c>
      <c r="C49" s="176">
        <v>2</v>
      </c>
      <c r="D49" s="177">
        <v>0</v>
      </c>
      <c r="E49" s="178">
        <v>15.66</v>
      </c>
      <c r="F49" s="177">
        <v>39.54</v>
      </c>
      <c r="G49" s="175">
        <v>562.88</v>
      </c>
      <c r="H49" s="181">
        <v>97.95</v>
      </c>
      <c r="I49" s="177">
        <v>121.99</v>
      </c>
      <c r="J49" s="207">
        <f>IF(A49='Facture énergie'!$I$4,'Facture énergie'!$C$30/12,0)</f>
        <v>0</v>
      </c>
      <c r="K49" s="211">
        <f>IF($A49='Facture énergie'!$I$4,E49*$F$8,0)</f>
        <v>0</v>
      </c>
      <c r="L49" s="212">
        <f>IF($A49='Facture énergie'!$I$4,F49*$F$8,0)</f>
        <v>0</v>
      </c>
      <c r="M49" s="207">
        <f>IF($A49='Facture énergie'!$I$4,G49*$F$8,0)</f>
        <v>0</v>
      </c>
      <c r="N49" s="211">
        <f>IF($A49='Facture énergie'!$I$4,H49*$F$8,0)</f>
        <v>0</v>
      </c>
      <c r="O49" s="212">
        <f>IF($A49='Facture énergie'!$I$4,I49*$F$8,0)</f>
        <v>0</v>
      </c>
    </row>
    <row r="50" spans="1:15" ht="12.75">
      <c r="A50" s="180" t="str">
        <f t="shared" si="1"/>
        <v>211</v>
      </c>
      <c r="B50" s="175">
        <v>2</v>
      </c>
      <c r="C50" s="176">
        <v>1</v>
      </c>
      <c r="D50" s="177">
        <v>1</v>
      </c>
      <c r="E50" s="178">
        <v>15.66</v>
      </c>
      <c r="F50" s="177">
        <v>47.66</v>
      </c>
      <c r="G50" s="175">
        <v>604.58</v>
      </c>
      <c r="H50" s="181">
        <v>97.95</v>
      </c>
      <c r="I50" s="177">
        <v>127.33</v>
      </c>
      <c r="J50" s="207">
        <f>IF(A50='Facture énergie'!$I$4,'Facture énergie'!$C$30/12,0)</f>
        <v>192.24249999999998</v>
      </c>
      <c r="K50" s="211">
        <f>IF($A50='Facture énergie'!$I$4,E50*$F$8,0)</f>
        <v>16.599600000000002</v>
      </c>
      <c r="L50" s="212">
        <f>IF($A50='Facture énergie'!$I$4,F50*$F$8,0)</f>
        <v>50.5196</v>
      </c>
      <c r="M50" s="207">
        <f>IF($A50='Facture énergie'!$I$4,G50*$F$8,0)</f>
        <v>640.8548000000001</v>
      </c>
      <c r="N50" s="211">
        <f>IF($A50='Facture énergie'!$I$4,H50*$F$8,0)</f>
        <v>103.82700000000001</v>
      </c>
      <c r="O50" s="212">
        <f>IF($A50='Facture énergie'!$I$4,I50*$F$8,0)</f>
        <v>134.9698</v>
      </c>
    </row>
    <row r="51" spans="1:15" ht="12.75">
      <c r="A51" s="180" t="str">
        <f t="shared" si="1"/>
        <v>202</v>
      </c>
      <c r="B51" s="175">
        <v>2</v>
      </c>
      <c r="C51" s="176">
        <v>0</v>
      </c>
      <c r="D51" s="177">
        <v>2</v>
      </c>
      <c r="E51" s="178">
        <v>15.66</v>
      </c>
      <c r="F51" s="177">
        <v>55.79</v>
      </c>
      <c r="G51" s="175">
        <v>646.27</v>
      </c>
      <c r="H51" s="181">
        <v>97.95</v>
      </c>
      <c r="I51" s="177">
        <v>132.67</v>
      </c>
      <c r="J51" s="207">
        <f>IF(A51='Facture énergie'!$I$4,'Facture énergie'!$C$30/12,0)</f>
        <v>0</v>
      </c>
      <c r="K51" s="211">
        <f>IF($A51='Facture énergie'!$I$4,E51*$F$8,0)</f>
        <v>0</v>
      </c>
      <c r="L51" s="212">
        <f>IF($A51='Facture énergie'!$I$4,F51*$F$8,0)</f>
        <v>0</v>
      </c>
      <c r="M51" s="207">
        <f>IF($A51='Facture énergie'!$I$4,G51*$F$8,0)</f>
        <v>0</v>
      </c>
      <c r="N51" s="211">
        <f>IF($A51='Facture énergie'!$I$4,H51*$F$8,0)</f>
        <v>0</v>
      </c>
      <c r="O51" s="212">
        <f>IF($A51='Facture énergie'!$I$4,I51*$F$8,0)</f>
        <v>0</v>
      </c>
    </row>
    <row r="52" spans="1:15" ht="12.75">
      <c r="A52" s="180" t="str">
        <f t="shared" si="1"/>
        <v>230</v>
      </c>
      <c r="B52" s="175">
        <v>2</v>
      </c>
      <c r="C52" s="176">
        <v>3</v>
      </c>
      <c r="D52" s="177">
        <v>0</v>
      </c>
      <c r="E52" s="178">
        <v>18.75</v>
      </c>
      <c r="F52" s="177">
        <v>44.95</v>
      </c>
      <c r="G52" s="175">
        <v>667.11</v>
      </c>
      <c r="H52" s="181">
        <v>122.44</v>
      </c>
      <c r="I52" s="177">
        <v>152.49</v>
      </c>
      <c r="J52" s="207">
        <f>IF(A52='Facture énergie'!$I$4,'Facture énergie'!$C$30/12,0)</f>
        <v>0</v>
      </c>
      <c r="K52" s="211">
        <f>IF($A52='Facture énergie'!$I$4,E52*$F$8,0)</f>
        <v>0</v>
      </c>
      <c r="L52" s="212">
        <f>IF($A52='Facture énergie'!$I$4,F52*$F$8,0)</f>
        <v>0</v>
      </c>
      <c r="M52" s="207">
        <f>IF($A52='Facture énergie'!$I$4,G52*$F$8,0)</f>
        <v>0</v>
      </c>
      <c r="N52" s="211">
        <f>IF($A52='Facture énergie'!$I$4,H52*$F$8,0)</f>
        <v>0</v>
      </c>
      <c r="O52" s="212">
        <f>IF($A52='Facture énergie'!$I$4,I52*$F$8,0)</f>
        <v>0</v>
      </c>
    </row>
    <row r="53" spans="1:15" ht="12.75">
      <c r="A53" s="180" t="str">
        <f t="shared" si="1"/>
        <v>221</v>
      </c>
      <c r="B53" s="175">
        <v>2</v>
      </c>
      <c r="C53" s="176">
        <v>2</v>
      </c>
      <c r="D53" s="177">
        <v>1</v>
      </c>
      <c r="E53" s="178">
        <v>18.75</v>
      </c>
      <c r="F53" s="177">
        <v>53.08</v>
      </c>
      <c r="G53" s="175">
        <v>708.8</v>
      </c>
      <c r="H53" s="181">
        <v>122.44</v>
      </c>
      <c r="I53" s="177">
        <v>157.83</v>
      </c>
      <c r="J53" s="207">
        <f>IF(A53='Facture énergie'!$I$4,'Facture énergie'!$C$30/12,0)</f>
        <v>0</v>
      </c>
      <c r="K53" s="211">
        <f>IF($A53='Facture énergie'!$I$4,E53*$F$8,0)</f>
        <v>0</v>
      </c>
      <c r="L53" s="212">
        <f>IF($A53='Facture énergie'!$I$4,F53*$F$8,0)</f>
        <v>0</v>
      </c>
      <c r="M53" s="207">
        <f>IF($A53='Facture énergie'!$I$4,G53*$F$8,0)</f>
        <v>0</v>
      </c>
      <c r="N53" s="211">
        <f>IF($A53='Facture énergie'!$I$4,H53*$F$8,0)</f>
        <v>0</v>
      </c>
      <c r="O53" s="212">
        <f>IF($A53='Facture énergie'!$I$4,I53*$F$8,0)</f>
        <v>0</v>
      </c>
    </row>
    <row r="54" spans="1:15" ht="12.75">
      <c r="A54" s="180" t="str">
        <f t="shared" si="1"/>
        <v>212</v>
      </c>
      <c r="B54" s="175">
        <v>2</v>
      </c>
      <c r="C54" s="176">
        <v>1</v>
      </c>
      <c r="D54" s="177">
        <v>2</v>
      </c>
      <c r="E54" s="178">
        <v>18.75</v>
      </c>
      <c r="F54" s="177">
        <v>61.2</v>
      </c>
      <c r="G54" s="175">
        <v>750.51</v>
      </c>
      <c r="H54" s="181">
        <v>122.44</v>
      </c>
      <c r="I54" s="177">
        <v>163.07</v>
      </c>
      <c r="J54" s="207">
        <f>IF(A54='Facture énergie'!$I$4,'Facture énergie'!$C$30/12,0)</f>
        <v>0</v>
      </c>
      <c r="K54" s="211">
        <f>IF($A54='Facture énergie'!$I$4,E54*$F$8,0)</f>
        <v>0</v>
      </c>
      <c r="L54" s="212">
        <f>IF($A54='Facture énergie'!$I$4,F54*$F$8,0)</f>
        <v>0</v>
      </c>
      <c r="M54" s="207">
        <f>IF($A54='Facture énergie'!$I$4,G54*$F$8,0)</f>
        <v>0</v>
      </c>
      <c r="N54" s="211">
        <f>IF($A54='Facture énergie'!$I$4,H54*$F$8,0)</f>
        <v>0</v>
      </c>
      <c r="O54" s="212">
        <f>IF($A54='Facture énergie'!$I$4,I54*$F$8,0)</f>
        <v>0</v>
      </c>
    </row>
    <row r="55" spans="1:15" ht="12.75">
      <c r="A55" s="180" t="str">
        <f t="shared" si="1"/>
        <v>203</v>
      </c>
      <c r="B55" s="175">
        <v>2</v>
      </c>
      <c r="C55" s="176">
        <v>0</v>
      </c>
      <c r="D55" s="177">
        <v>3</v>
      </c>
      <c r="E55" s="178">
        <v>18.75</v>
      </c>
      <c r="F55" s="177">
        <v>69.33</v>
      </c>
      <c r="G55" s="175">
        <v>792.2</v>
      </c>
      <c r="H55" s="181">
        <v>122.44</v>
      </c>
      <c r="I55" s="177">
        <v>168.51</v>
      </c>
      <c r="J55" s="207">
        <f>IF(A55='Facture énergie'!$I$4,'Facture énergie'!$C$30/12,0)</f>
        <v>0</v>
      </c>
      <c r="K55" s="211">
        <f>IF($A55='Facture énergie'!$I$4,E55*$F$8,0)</f>
        <v>0</v>
      </c>
      <c r="L55" s="212">
        <f>IF($A55='Facture énergie'!$I$4,F55*$F$8,0)</f>
        <v>0</v>
      </c>
      <c r="M55" s="207">
        <f>IF($A55='Facture énergie'!$I$4,G55*$F$8,0)</f>
        <v>0</v>
      </c>
      <c r="N55" s="211">
        <f>IF($A55='Facture énergie'!$I$4,H55*$F$8,0)</f>
        <v>0</v>
      </c>
      <c r="O55" s="212">
        <f>IF($A55='Facture énergie'!$I$4,I55*$F$8,0)</f>
        <v>0</v>
      </c>
    </row>
    <row r="56" spans="1:15" ht="12.75">
      <c r="A56" s="180" t="str">
        <f t="shared" si="1"/>
        <v>240</v>
      </c>
      <c r="B56" s="175">
        <v>2</v>
      </c>
      <c r="C56" s="176">
        <v>4</v>
      </c>
      <c r="D56" s="177">
        <v>0</v>
      </c>
      <c r="E56" s="178">
        <v>21.22</v>
      </c>
      <c r="F56" s="177">
        <v>50.37</v>
      </c>
      <c r="G56" s="175">
        <v>771.35</v>
      </c>
      <c r="H56" s="181">
        <v>146.92</v>
      </c>
      <c r="I56" s="177">
        <v>182.98</v>
      </c>
      <c r="J56" s="207">
        <f>IF(A56='Facture énergie'!$I$4,'Facture énergie'!$C$30/12,0)</f>
        <v>0</v>
      </c>
      <c r="K56" s="211">
        <f>IF($A56='Facture énergie'!$I$4,E56*$F$8,0)</f>
        <v>0</v>
      </c>
      <c r="L56" s="212">
        <f>IF($A56='Facture énergie'!$I$4,F56*$F$8,0)</f>
        <v>0</v>
      </c>
      <c r="M56" s="207">
        <f>IF($A56='Facture énergie'!$I$4,G56*$F$8,0)</f>
        <v>0</v>
      </c>
      <c r="N56" s="211">
        <f>IF($A56='Facture énergie'!$I$4,H56*$F$8,0)</f>
        <v>0</v>
      </c>
      <c r="O56" s="212">
        <f>IF($A56='Facture énergie'!$I$4,I56*$F$8,0)</f>
        <v>0</v>
      </c>
    </row>
    <row r="57" spans="1:15" ht="12.75">
      <c r="A57" s="180" t="str">
        <f t="shared" si="1"/>
        <v>231</v>
      </c>
      <c r="B57" s="175">
        <v>2</v>
      </c>
      <c r="C57" s="176">
        <v>3</v>
      </c>
      <c r="D57" s="177">
        <v>1</v>
      </c>
      <c r="E57" s="178">
        <v>21.22</v>
      </c>
      <c r="F57" s="177">
        <v>58.49</v>
      </c>
      <c r="G57" s="175">
        <v>813.05</v>
      </c>
      <c r="H57" s="181">
        <v>146.92</v>
      </c>
      <c r="I57" s="177">
        <v>188.33</v>
      </c>
      <c r="J57" s="207">
        <f>IF(A57='Facture énergie'!$I$4,'Facture énergie'!$C$30/12,0)</f>
        <v>0</v>
      </c>
      <c r="K57" s="211">
        <f>IF($A57='Facture énergie'!$I$4,E57*$F$8,0)</f>
        <v>0</v>
      </c>
      <c r="L57" s="212">
        <f>IF($A57='Facture énergie'!$I$4,F57*$F$8,0)</f>
        <v>0</v>
      </c>
      <c r="M57" s="207">
        <f>IF($A57='Facture énergie'!$I$4,G57*$F$8,0)</f>
        <v>0</v>
      </c>
      <c r="N57" s="211">
        <f>IF($A57='Facture énergie'!$I$4,H57*$F$8,0)</f>
        <v>0</v>
      </c>
      <c r="O57" s="212">
        <f>IF($A57='Facture énergie'!$I$4,I57*$F$8,0)</f>
        <v>0</v>
      </c>
    </row>
    <row r="58" spans="1:15" ht="12.75">
      <c r="A58" s="180" t="str">
        <f t="shared" si="1"/>
        <v>222</v>
      </c>
      <c r="B58" s="175">
        <v>2</v>
      </c>
      <c r="C58" s="176">
        <v>2</v>
      </c>
      <c r="D58" s="177">
        <v>2</v>
      </c>
      <c r="E58" s="178">
        <v>21.22</v>
      </c>
      <c r="F58" s="177">
        <v>66.62</v>
      </c>
      <c r="G58" s="175">
        <v>854.75</v>
      </c>
      <c r="H58" s="181">
        <v>146.92</v>
      </c>
      <c r="I58" s="177">
        <v>193.66</v>
      </c>
      <c r="J58" s="207">
        <f>IF(A58='Facture énergie'!$I$4,'Facture énergie'!$C$30/12,0)</f>
        <v>0</v>
      </c>
      <c r="K58" s="211">
        <f>IF($A58='Facture énergie'!$I$4,E58*$F$8,0)</f>
        <v>0</v>
      </c>
      <c r="L58" s="212">
        <f>IF($A58='Facture énergie'!$I$4,F58*$F$8,0)</f>
        <v>0</v>
      </c>
      <c r="M58" s="207">
        <f>IF($A58='Facture énergie'!$I$4,G58*$F$8,0)</f>
        <v>0</v>
      </c>
      <c r="N58" s="211">
        <f>IF($A58='Facture énergie'!$I$4,H58*$F$8,0)</f>
        <v>0</v>
      </c>
      <c r="O58" s="212">
        <f>IF($A58='Facture énergie'!$I$4,I58*$F$8,0)</f>
        <v>0</v>
      </c>
    </row>
    <row r="59" spans="1:15" ht="12.75">
      <c r="A59" s="180" t="str">
        <f t="shared" si="1"/>
        <v>213</v>
      </c>
      <c r="B59" s="175">
        <v>2</v>
      </c>
      <c r="C59" s="176">
        <v>1</v>
      </c>
      <c r="D59" s="177">
        <v>3</v>
      </c>
      <c r="E59" s="178">
        <v>21.22</v>
      </c>
      <c r="F59" s="177">
        <v>74.74</v>
      </c>
      <c r="G59" s="175">
        <v>896.75</v>
      </c>
      <c r="H59" s="181">
        <v>146.92</v>
      </c>
      <c r="I59" s="177">
        <v>203.34</v>
      </c>
      <c r="J59" s="207">
        <f>IF(A59='Facture énergie'!$I$4,'Facture énergie'!$C$30/12,0)</f>
        <v>0</v>
      </c>
      <c r="K59" s="211">
        <f>IF($A59='Facture énergie'!$I$4,E59*$F$8,0)</f>
        <v>0</v>
      </c>
      <c r="L59" s="212">
        <f>IF($A59='Facture énergie'!$I$4,F59*$F$8,0)</f>
        <v>0</v>
      </c>
      <c r="M59" s="207">
        <f>IF($A59='Facture énergie'!$I$4,G59*$F$8,0)</f>
        <v>0</v>
      </c>
      <c r="N59" s="211">
        <f>IF($A59='Facture énergie'!$I$4,H59*$F$8,0)</f>
        <v>0</v>
      </c>
      <c r="O59" s="212">
        <f>IF($A59='Facture énergie'!$I$4,I59*$F$8,0)</f>
        <v>0</v>
      </c>
    </row>
    <row r="60" spans="1:15" ht="12.75">
      <c r="A60" s="180" t="str">
        <f t="shared" si="1"/>
        <v>204</v>
      </c>
      <c r="B60" s="175">
        <v>2</v>
      </c>
      <c r="C60" s="176">
        <v>0</v>
      </c>
      <c r="D60" s="177">
        <v>4</v>
      </c>
      <c r="E60" s="178">
        <v>21.22</v>
      </c>
      <c r="F60" s="177">
        <v>82.87</v>
      </c>
      <c r="G60" s="175">
        <v>938.13</v>
      </c>
      <c r="H60" s="181">
        <v>146.92</v>
      </c>
      <c r="I60" s="177">
        <v>204.35</v>
      </c>
      <c r="J60" s="207">
        <f>IF(A60='Facture énergie'!$I$4,'Facture énergie'!$C$30/12,0)</f>
        <v>0</v>
      </c>
      <c r="K60" s="211">
        <f>IF($A60='Facture énergie'!$I$4,E60*$F$8,0)</f>
        <v>0</v>
      </c>
      <c r="L60" s="212">
        <f>IF($A60='Facture énergie'!$I$4,F60*$F$8,0)</f>
        <v>0</v>
      </c>
      <c r="M60" s="207">
        <f>IF($A60='Facture énergie'!$I$4,G60*$F$8,0)</f>
        <v>0</v>
      </c>
      <c r="N60" s="211">
        <f>IF($A60='Facture énergie'!$I$4,H60*$F$8,0)</f>
        <v>0</v>
      </c>
      <c r="O60" s="212">
        <f>IF($A60='Facture énergie'!$I$4,I60*$F$8,0)</f>
        <v>0</v>
      </c>
    </row>
    <row r="61" spans="1:15" ht="12.75">
      <c r="A61" s="180" t="str">
        <f t="shared" si="1"/>
        <v>250</v>
      </c>
      <c r="B61" s="175">
        <v>2</v>
      </c>
      <c r="C61" s="176">
        <v>5</v>
      </c>
      <c r="D61" s="177">
        <v>0</v>
      </c>
      <c r="E61" s="178">
        <v>21.22</v>
      </c>
      <c r="F61" s="177">
        <v>55.79</v>
      </c>
      <c r="G61" s="175">
        <v>875.6</v>
      </c>
      <c r="H61" s="181">
        <v>171.41</v>
      </c>
      <c r="I61" s="177">
        <v>213.49</v>
      </c>
      <c r="J61" s="207">
        <f>IF(A61='Facture énergie'!$I$4,'Facture énergie'!$C$30/12,0)</f>
        <v>0</v>
      </c>
      <c r="K61" s="211">
        <f>IF($A61='Facture énergie'!$I$4,E61*$F$8,0)</f>
        <v>0</v>
      </c>
      <c r="L61" s="212">
        <f>IF($A61='Facture énergie'!$I$4,F61*$F$8,0)</f>
        <v>0</v>
      </c>
      <c r="M61" s="207">
        <f>IF($A61='Facture énergie'!$I$4,G61*$F$8,0)</f>
        <v>0</v>
      </c>
      <c r="N61" s="211">
        <f>IF($A61='Facture énergie'!$I$4,H61*$F$8,0)</f>
        <v>0</v>
      </c>
      <c r="O61" s="212">
        <f>IF($A61='Facture énergie'!$I$4,I61*$F$8,0)</f>
        <v>0</v>
      </c>
    </row>
    <row r="62" spans="1:15" ht="12.75">
      <c r="A62" s="180" t="str">
        <f t="shared" si="1"/>
        <v>241</v>
      </c>
      <c r="B62" s="175">
        <v>2</v>
      </c>
      <c r="C62" s="176">
        <v>4</v>
      </c>
      <c r="D62" s="177">
        <v>1</v>
      </c>
      <c r="E62" s="178">
        <v>21.22</v>
      </c>
      <c r="F62" s="177">
        <v>63.91</v>
      </c>
      <c r="G62" s="175">
        <v>917.29</v>
      </c>
      <c r="H62" s="181">
        <v>171.41</v>
      </c>
      <c r="I62" s="177">
        <v>218.83</v>
      </c>
      <c r="J62" s="207">
        <f>IF(A62='Facture énergie'!$I$4,'Facture énergie'!$C$30/12,0)</f>
        <v>0</v>
      </c>
      <c r="K62" s="211">
        <f>IF($A62='Facture énergie'!$I$4,E62*$F$8,0)</f>
        <v>0</v>
      </c>
      <c r="L62" s="212">
        <f>IF($A62='Facture énergie'!$I$4,F62*$F$8,0)</f>
        <v>0</v>
      </c>
      <c r="M62" s="207">
        <f>IF($A62='Facture énergie'!$I$4,G62*$F$8,0)</f>
        <v>0</v>
      </c>
      <c r="N62" s="211">
        <f>IF($A62='Facture énergie'!$I$4,H62*$F$8,0)</f>
        <v>0</v>
      </c>
      <c r="O62" s="212">
        <f>IF($A62='Facture énergie'!$I$4,I62*$F$8,0)</f>
        <v>0</v>
      </c>
    </row>
    <row r="63" spans="1:15" ht="12.75">
      <c r="A63" s="180" t="str">
        <f t="shared" si="1"/>
        <v>232</v>
      </c>
      <c r="B63" s="175">
        <v>2</v>
      </c>
      <c r="C63" s="176">
        <v>3</v>
      </c>
      <c r="D63" s="177">
        <v>2</v>
      </c>
      <c r="E63" s="178">
        <v>21.22</v>
      </c>
      <c r="F63" s="177">
        <v>72.04</v>
      </c>
      <c r="G63" s="175">
        <v>958.98</v>
      </c>
      <c r="H63" s="181">
        <v>171.41</v>
      </c>
      <c r="I63" s="177">
        <v>224.17</v>
      </c>
      <c r="J63" s="207">
        <f>IF(A63='Facture énergie'!$I$4,'Facture énergie'!$C$30/12,0)</f>
        <v>0</v>
      </c>
      <c r="K63" s="211">
        <f>IF($A63='Facture énergie'!$I$4,E63*$F$8,0)</f>
        <v>0</v>
      </c>
      <c r="L63" s="212">
        <f>IF($A63='Facture énergie'!$I$4,F63*$F$8,0)</f>
        <v>0</v>
      </c>
      <c r="M63" s="207">
        <f>IF($A63='Facture énergie'!$I$4,G63*$F$8,0)</f>
        <v>0</v>
      </c>
      <c r="N63" s="211">
        <f>IF($A63='Facture énergie'!$I$4,H63*$F$8,0)</f>
        <v>0</v>
      </c>
      <c r="O63" s="212">
        <f>IF($A63='Facture énergie'!$I$4,I63*$F$8,0)</f>
        <v>0</v>
      </c>
    </row>
    <row r="64" spans="1:15" ht="12.75">
      <c r="A64" s="180" t="str">
        <f t="shared" si="1"/>
        <v>223</v>
      </c>
      <c r="B64" s="175">
        <v>2</v>
      </c>
      <c r="C64" s="176">
        <v>2</v>
      </c>
      <c r="D64" s="177">
        <v>3</v>
      </c>
      <c r="E64" s="178">
        <v>21.22</v>
      </c>
      <c r="F64" s="177">
        <v>80.16</v>
      </c>
      <c r="G64" s="175">
        <v>1000.68</v>
      </c>
      <c r="H64" s="181">
        <v>171.41</v>
      </c>
      <c r="I64" s="177">
        <v>229.51</v>
      </c>
      <c r="J64" s="207">
        <f>IF(A64='Facture énergie'!$I$4,'Facture énergie'!$C$30/12,0)</f>
        <v>0</v>
      </c>
      <c r="K64" s="211">
        <f>IF($A64='Facture énergie'!$I$4,E64*$F$8,0)</f>
        <v>0</v>
      </c>
      <c r="L64" s="212">
        <f>IF($A64='Facture énergie'!$I$4,F64*$F$8,0)</f>
        <v>0</v>
      </c>
      <c r="M64" s="207">
        <f>IF($A64='Facture énergie'!$I$4,G64*$F$8,0)</f>
        <v>0</v>
      </c>
      <c r="N64" s="211">
        <f>IF($A64='Facture énergie'!$I$4,H64*$F$8,0)</f>
        <v>0</v>
      </c>
      <c r="O64" s="212">
        <f>IF($A64='Facture énergie'!$I$4,I64*$F$8,0)</f>
        <v>0</v>
      </c>
    </row>
    <row r="65" spans="1:15" ht="12.75">
      <c r="A65" s="180" t="str">
        <f t="shared" si="1"/>
        <v>214</v>
      </c>
      <c r="B65" s="175">
        <v>2</v>
      </c>
      <c r="C65" s="176">
        <v>1</v>
      </c>
      <c r="D65" s="177">
        <v>4</v>
      </c>
      <c r="E65" s="178">
        <v>21.22</v>
      </c>
      <c r="F65" s="177">
        <v>88.29</v>
      </c>
      <c r="G65" s="175">
        <v>1042.37</v>
      </c>
      <c r="H65" s="181">
        <v>171.41</v>
      </c>
      <c r="I65" s="177">
        <v>234.85</v>
      </c>
      <c r="J65" s="207">
        <f>IF(A65='Facture énergie'!$I$4,'Facture énergie'!$C$30/12,0)</f>
        <v>0</v>
      </c>
      <c r="K65" s="211">
        <f>IF($A65='Facture énergie'!$I$4,E65*$F$8,0)</f>
        <v>0</v>
      </c>
      <c r="L65" s="212">
        <f>IF($A65='Facture énergie'!$I$4,F65*$F$8,0)</f>
        <v>0</v>
      </c>
      <c r="M65" s="207">
        <f>IF($A65='Facture énergie'!$I$4,G65*$F$8,0)</f>
        <v>0</v>
      </c>
      <c r="N65" s="211">
        <f>IF($A65='Facture énergie'!$I$4,H65*$F$8,0)</f>
        <v>0</v>
      </c>
      <c r="O65" s="212">
        <f>IF($A65='Facture énergie'!$I$4,I65*$F$8,0)</f>
        <v>0</v>
      </c>
    </row>
    <row r="66" spans="1:15" ht="12.75">
      <c r="A66" s="182" t="str">
        <f t="shared" si="1"/>
        <v>205</v>
      </c>
      <c r="B66" s="183">
        <v>2</v>
      </c>
      <c r="C66" s="184">
        <v>0</v>
      </c>
      <c r="D66" s="185">
        <v>5</v>
      </c>
      <c r="E66" s="186">
        <v>21.22</v>
      </c>
      <c r="F66" s="185">
        <v>96.41</v>
      </c>
      <c r="G66" s="183">
        <v>1084.07</v>
      </c>
      <c r="H66" s="187">
        <v>171.41</v>
      </c>
      <c r="I66" s="185">
        <v>305.16</v>
      </c>
      <c r="J66" s="213">
        <f>IF(A66='Facture énergie'!$I$4,'Facture énergie'!$C$30/12,0)</f>
        <v>0</v>
      </c>
      <c r="K66" s="214">
        <f>IF($A66='Facture énergie'!$I$4,E66*$F$8,0)</f>
        <v>0</v>
      </c>
      <c r="L66" s="215">
        <f>IF($A66='Facture énergie'!$I$4,F66*$F$8,0)</f>
        <v>0</v>
      </c>
      <c r="M66" s="213">
        <f>IF($A66='Facture énergie'!$I$4,G66*$F$8,0)</f>
        <v>0</v>
      </c>
      <c r="N66" s="214">
        <f>IF($A66='Facture énergie'!$I$4,H66*$F$8,0)</f>
        <v>0</v>
      </c>
      <c r="O66" s="215">
        <f>IF($A66='Facture énergie'!$I$4,I66*$F$8,0)</f>
        <v>0</v>
      </c>
    </row>
    <row r="67" ht="12.75"/>
    <row r="68" ht="12.75"/>
    <row r="69" spans="1:8" ht="15">
      <c r="A69" s="157" t="s">
        <v>124</v>
      </c>
      <c r="B69" s="157" t="s">
        <v>127</v>
      </c>
      <c r="C69" s="158"/>
      <c r="D69" s="158"/>
      <c r="E69" s="158"/>
      <c r="F69" s="158"/>
      <c r="G69" s="158"/>
      <c r="H69" s="158"/>
    </row>
    <row r="70" ht="12.75"/>
    <row r="71" ht="13.5" thickBot="1"/>
    <row r="72" spans="2:14" ht="20.25" customHeight="1" thickBot="1">
      <c r="B72" s="188" t="s">
        <v>125</v>
      </c>
      <c r="C72" s="189"/>
      <c r="D72" s="190"/>
      <c r="E72" s="191"/>
      <c r="F72" s="189"/>
      <c r="G72" s="189"/>
      <c r="H72" s="192"/>
      <c r="I72" s="192"/>
      <c r="J72" s="192"/>
      <c r="N72" s="156"/>
    </row>
    <row r="73" spans="2:10" ht="12.75">
      <c r="B73" s="193" t="s">
        <v>61</v>
      </c>
      <c r="C73" s="194"/>
      <c r="D73" s="195"/>
      <c r="E73" s="196"/>
      <c r="F73" s="197" t="s">
        <v>62</v>
      </c>
      <c r="G73" s="194"/>
      <c r="H73" s="196"/>
      <c r="I73" s="196"/>
      <c r="J73" s="196"/>
    </row>
    <row r="74" spans="2:10" ht="25.5">
      <c r="B74" s="198" t="s">
        <v>58</v>
      </c>
      <c r="C74" s="199" t="s">
        <v>59</v>
      </c>
      <c r="D74" s="195"/>
      <c r="E74" s="200" t="s">
        <v>60</v>
      </c>
      <c r="F74" s="201" t="s">
        <v>63</v>
      </c>
      <c r="G74" s="202" t="s">
        <v>64</v>
      </c>
      <c r="H74" s="202" t="s">
        <v>65</v>
      </c>
      <c r="I74" s="201" t="s">
        <v>120</v>
      </c>
      <c r="J74" s="200" t="s">
        <v>121</v>
      </c>
    </row>
    <row r="75" spans="2:11" ht="12.75">
      <c r="B75" s="216">
        <f>MAX(J18:J66)</f>
        <v>192.24249999999998</v>
      </c>
      <c r="C75" s="217">
        <f>MAX(K18:K66)</f>
        <v>16.599600000000002</v>
      </c>
      <c r="D75" s="218"/>
      <c r="E75" s="219">
        <f>MAX(L18:L66)</f>
        <v>50.5196</v>
      </c>
      <c r="F75" s="220">
        <f>MAX(M18:M66)</f>
        <v>640.8548000000001</v>
      </c>
      <c r="G75" s="221">
        <f>MAX(N18:N66)</f>
        <v>103.82700000000001</v>
      </c>
      <c r="H75" s="221">
        <f>MAX(O18:O66)</f>
        <v>134.9698</v>
      </c>
      <c r="I75" s="204">
        <f>IF('Budget mensuel'!C109&gt;0,'Budget mensuel'!C109,20+25*'Budget mensuel'!C110)</f>
        <v>70</v>
      </c>
      <c r="J75" s="203">
        <f>IF('Budget mensuel'!C112&gt;0,'Budget mensuel'!C112,6*4*'Budget mensuel'!C113)</f>
        <v>0</v>
      </c>
      <c r="K75" s="69" t="s">
        <v>252</v>
      </c>
    </row>
    <row r="76" spans="2:14" ht="13.5" thickBot="1">
      <c r="B76" s="222">
        <f>B75</f>
        <v>192.24249999999998</v>
      </c>
      <c r="C76" s="223">
        <f>C75</f>
        <v>16.599600000000002</v>
      </c>
      <c r="D76" s="224"/>
      <c r="E76" s="225">
        <f>E75</f>
        <v>50.5196</v>
      </c>
      <c r="F76" s="226">
        <f>IF(N76&lt;1,F75*N76,F75)</f>
        <v>569.0790624</v>
      </c>
      <c r="G76" s="227">
        <f>IF(N76&lt;1,G75*N76,G75)</f>
        <v>92.198376</v>
      </c>
      <c r="H76" s="227">
        <f>IF(N76&lt;1,H75*N76*N76,H75)</f>
        <v>106.42962597119997</v>
      </c>
      <c r="I76" s="226">
        <f>I75</f>
        <v>70</v>
      </c>
      <c r="J76" s="225">
        <f>J75</f>
        <v>0</v>
      </c>
      <c r="K76" s="67" t="s">
        <v>126</v>
      </c>
      <c r="N76" s="205">
        <f>IF('Budget mensuel'!C50=0,1,(IF(M79=1,(70%*'Budget mensuel'!C50/1500+30%),(70%*'Budget mensuel'!C50/2500+30%))))</f>
        <v>0.8879999999999999</v>
      </c>
    </row>
    <row r="77" spans="11:13" ht="12.75">
      <c r="K77" s="57" t="s">
        <v>136</v>
      </c>
      <c r="L77" s="57"/>
      <c r="M77" s="57"/>
    </row>
    <row r="78" spans="11:13" ht="12.75">
      <c r="K78" s="57"/>
      <c r="L78" s="57"/>
      <c r="M78" s="57"/>
    </row>
    <row r="79" spans="11:13" ht="12.75">
      <c r="K79" s="57" t="s">
        <v>137</v>
      </c>
      <c r="L79" s="57"/>
      <c r="M79" s="206">
        <f>'Budget mensuel'!C14</f>
        <v>2</v>
      </c>
    </row>
    <row r="82" ht="12.75">
      <c r="M82" s="156"/>
    </row>
  </sheetData>
  <sheetProtection sheet="1"/>
  <printOptions/>
  <pageMargins left="0.787401575" right="0.787401575" top="0.984251969" bottom="0.984251969" header="0.4921259845" footer="0.492125984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Delpont</dc:creator>
  <cp:keywords/>
  <dc:description/>
  <cp:lastModifiedBy>Bouchra Zeroual</cp:lastModifiedBy>
  <cp:lastPrinted>2014-10-20T12:56:04Z</cp:lastPrinted>
  <dcterms:created xsi:type="dcterms:W3CDTF">2008-09-25T14:18:54Z</dcterms:created>
  <dcterms:modified xsi:type="dcterms:W3CDTF">2016-04-13T09:53:25Z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